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FG_Tierernaehrung\Tierernaehrung\Gremien\450020_AK_Futter&amp;Fütterung\Projekte\Umsetzung GfE 2023\AG-Protein\"/>
    </mc:Choice>
  </mc:AlternateContent>
  <xr:revisionPtr revIDLastSave="0" documentId="13_ncr:1_{B43E9231-0237-4FF5-8321-A539308A15BC}" xr6:coauthVersionLast="36" xr6:coauthVersionMax="36" xr10:uidLastSave="{00000000-0000-0000-0000-000000000000}"/>
  <bookViews>
    <workbookView xWindow="0" yWindow="0" windowWidth="17256" windowHeight="6276" xr2:uid="{00000000-000D-0000-FFFF-FFFF00000000}"/>
  </bookViews>
  <sheets>
    <sheet name="Beispiel Mischfutter" sheetId="8" r:id="rId1"/>
    <sheet name="Beispiel Rationsberechnu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6" i="1" l="1"/>
  <c r="C124" i="1"/>
  <c r="B126" i="1" l="1"/>
  <c r="B124" i="1"/>
  <c r="B108" i="1"/>
  <c r="E39" i="8"/>
  <c r="F39" i="8" s="1"/>
  <c r="C34" i="8"/>
  <c r="C35" i="8"/>
  <c r="C36" i="8"/>
  <c r="C37" i="8"/>
  <c r="C38" i="8"/>
  <c r="C39" i="8"/>
  <c r="G39" i="8" l="1"/>
  <c r="C125" i="1"/>
  <c r="B125" i="1"/>
  <c r="B109" i="1"/>
  <c r="B107" i="1"/>
  <c r="C83" i="1"/>
  <c r="K53" i="8"/>
  <c r="E54" i="8"/>
  <c r="D54" i="8"/>
  <c r="C54" i="8"/>
  <c r="F48" i="8"/>
  <c r="G48" i="8"/>
  <c r="H48" i="8"/>
  <c r="I48" i="8"/>
  <c r="J48" i="8"/>
  <c r="L48" i="8"/>
  <c r="M48" i="8"/>
  <c r="N48" i="8"/>
  <c r="O48" i="8"/>
  <c r="P48" i="8"/>
  <c r="F49" i="8"/>
  <c r="G49" i="8"/>
  <c r="H49" i="8"/>
  <c r="I49" i="8"/>
  <c r="J49" i="8"/>
  <c r="L49" i="8"/>
  <c r="M49" i="8"/>
  <c r="N49" i="8"/>
  <c r="O49" i="8"/>
  <c r="P49" i="8"/>
  <c r="F50" i="8"/>
  <c r="G50" i="8"/>
  <c r="H50" i="8"/>
  <c r="I50" i="8"/>
  <c r="J50" i="8"/>
  <c r="L50" i="8"/>
  <c r="M50" i="8"/>
  <c r="N50" i="8"/>
  <c r="O50" i="8"/>
  <c r="P50" i="8"/>
  <c r="F51" i="8"/>
  <c r="G51" i="8"/>
  <c r="H51" i="8"/>
  <c r="I51" i="8"/>
  <c r="J51" i="8"/>
  <c r="L51" i="8"/>
  <c r="M51" i="8"/>
  <c r="N51" i="8"/>
  <c r="O51" i="8"/>
  <c r="P51" i="8"/>
  <c r="F52" i="8"/>
  <c r="G52" i="8"/>
  <c r="H52" i="8"/>
  <c r="I52" i="8"/>
  <c r="J52" i="8"/>
  <c r="L52" i="8"/>
  <c r="M52" i="8"/>
  <c r="N52" i="8"/>
  <c r="O52" i="8"/>
  <c r="P52" i="8"/>
  <c r="F53" i="8"/>
  <c r="G53" i="8"/>
  <c r="H53" i="8"/>
  <c r="I53" i="8"/>
  <c r="J53" i="8"/>
  <c r="L53" i="8"/>
  <c r="M53" i="8"/>
  <c r="N53" i="8"/>
  <c r="O53" i="8"/>
  <c r="P53" i="8"/>
  <c r="E45" i="1" l="1"/>
  <c r="E46" i="1"/>
  <c r="E47" i="1"/>
  <c r="E48" i="1"/>
  <c r="E44" i="1"/>
  <c r="E21" i="8"/>
  <c r="E22" i="8"/>
  <c r="E23" i="8"/>
  <c r="E24" i="8"/>
  <c r="E20" i="8"/>
  <c r="G21" i="8"/>
  <c r="G22" i="8"/>
  <c r="G23" i="8"/>
  <c r="G24" i="8"/>
  <c r="G20" i="8"/>
  <c r="G104" i="1" l="1"/>
  <c r="G103" i="1"/>
  <c r="E48" i="8"/>
  <c r="E49" i="8"/>
  <c r="E50" i="8"/>
  <c r="E51" i="8"/>
  <c r="E52" i="8"/>
  <c r="E53" i="8"/>
  <c r="D48" i="8"/>
  <c r="D49" i="8"/>
  <c r="D50" i="8"/>
  <c r="D51" i="8"/>
  <c r="D52" i="8"/>
  <c r="D53" i="8"/>
  <c r="C48" i="8"/>
  <c r="C49" i="8"/>
  <c r="C50" i="8"/>
  <c r="C51" i="8"/>
  <c r="C52" i="8"/>
  <c r="C53" i="8"/>
  <c r="B49" i="8"/>
  <c r="B50" i="8"/>
  <c r="B51" i="8"/>
  <c r="B52" i="8"/>
  <c r="B53" i="8"/>
  <c r="B48" i="8"/>
  <c r="B35" i="8"/>
  <c r="B36" i="8"/>
  <c r="B37" i="8"/>
  <c r="B38" i="8"/>
  <c r="B39" i="8"/>
  <c r="B34" i="8"/>
  <c r="C21" i="8"/>
  <c r="D21" i="8"/>
  <c r="F21" i="8"/>
  <c r="C22" i="8"/>
  <c r="D22" i="8"/>
  <c r="F22" i="8"/>
  <c r="C23" i="8"/>
  <c r="D23" i="8"/>
  <c r="F23" i="8"/>
  <c r="C24" i="8"/>
  <c r="D24" i="8"/>
  <c r="F24" i="8"/>
  <c r="D20" i="8"/>
  <c r="F20" i="8"/>
  <c r="C20" i="8"/>
  <c r="H20" i="8" s="1"/>
  <c r="B21" i="8"/>
  <c r="B22" i="8"/>
  <c r="B23" i="8"/>
  <c r="B24" i="8"/>
  <c r="B25" i="8"/>
  <c r="B20" i="8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M44" i="1"/>
  <c r="N44" i="1"/>
  <c r="O44" i="1"/>
  <c r="L44" i="1"/>
  <c r="K45" i="1"/>
  <c r="K46" i="1"/>
  <c r="K47" i="1"/>
  <c r="K48" i="1"/>
  <c r="K44" i="1"/>
  <c r="C121" i="1" l="1"/>
  <c r="B121" i="1"/>
  <c r="C123" i="1"/>
  <c r="B123" i="1"/>
  <c r="B104" i="1"/>
  <c r="B106" i="1"/>
  <c r="C122" i="1"/>
  <c r="B105" i="1"/>
  <c r="B122" i="1"/>
  <c r="H23" i="8"/>
  <c r="H24" i="8"/>
  <c r="H22" i="8"/>
  <c r="H21" i="8"/>
  <c r="D44" i="1"/>
  <c r="F44" i="1"/>
  <c r="D45" i="1"/>
  <c r="F45" i="1"/>
  <c r="D46" i="1"/>
  <c r="F46" i="1"/>
  <c r="D47" i="1"/>
  <c r="F47" i="1"/>
  <c r="D48" i="1"/>
  <c r="F48" i="1"/>
  <c r="C45" i="1"/>
  <c r="C46" i="1"/>
  <c r="C47" i="1"/>
  <c r="C48" i="1"/>
  <c r="C44" i="1"/>
  <c r="B48" i="1"/>
  <c r="B47" i="1"/>
  <c r="B46" i="1"/>
  <c r="B45" i="1"/>
  <c r="B44" i="1"/>
  <c r="C31" i="1"/>
  <c r="C32" i="1"/>
  <c r="C33" i="1"/>
  <c r="C34" i="1"/>
  <c r="C30" i="1"/>
  <c r="B31" i="1"/>
  <c r="B32" i="1"/>
  <c r="B33" i="1"/>
  <c r="B34" i="1"/>
  <c r="B30" i="1"/>
  <c r="B127" i="1" l="1"/>
  <c r="C127" i="1"/>
  <c r="B110" i="1"/>
  <c r="B69" i="1"/>
  <c r="B70" i="1"/>
  <c r="B71" i="1"/>
  <c r="B72" i="1"/>
  <c r="B73" i="1"/>
  <c r="B68" i="1"/>
  <c r="C74" i="1" l="1"/>
  <c r="C72" i="1" s="1"/>
  <c r="D72" i="1" s="1"/>
  <c r="B74" i="1"/>
  <c r="B83" i="1" s="1"/>
  <c r="D21" i="1"/>
  <c r="C13" i="1"/>
  <c r="F32" i="1" l="1"/>
  <c r="F33" i="1"/>
  <c r="F34" i="1"/>
  <c r="F30" i="1"/>
  <c r="F31" i="1"/>
  <c r="D34" i="1"/>
  <c r="D33" i="1"/>
  <c r="D32" i="1"/>
  <c r="D31" i="1"/>
  <c r="D30" i="1"/>
  <c r="E30" i="1" s="1"/>
  <c r="G30" i="1" s="1"/>
  <c r="H40" i="1"/>
  <c r="H39" i="1"/>
  <c r="H38" i="1"/>
  <c r="C70" i="1"/>
  <c r="D70" i="1" s="1"/>
  <c r="C69" i="1"/>
  <c r="D69" i="1" s="1"/>
  <c r="C68" i="1"/>
  <c r="D68" i="1" s="1"/>
  <c r="C73" i="1"/>
  <c r="C71" i="1"/>
  <c r="D71" i="1" s="1"/>
  <c r="P30" i="1" l="1"/>
  <c r="R30" i="1" s="1"/>
  <c r="O30" i="1"/>
  <c r="Q30" i="1" s="1"/>
  <c r="G45" i="1"/>
  <c r="H45" i="1" s="1"/>
  <c r="I45" i="1" s="1"/>
  <c r="G46" i="1"/>
  <c r="H46" i="1" s="1"/>
  <c r="I46" i="1" s="1"/>
  <c r="G44" i="1"/>
  <c r="H44" i="1" s="1"/>
  <c r="I44" i="1" s="1"/>
  <c r="G47" i="1"/>
  <c r="H47" i="1" s="1"/>
  <c r="I47" i="1" s="1"/>
  <c r="G48" i="1"/>
  <c r="H48" i="1" s="1"/>
  <c r="I48" i="1" s="1"/>
  <c r="D74" i="1"/>
  <c r="D83" i="1" s="1"/>
  <c r="D84" i="1" s="1"/>
  <c r="E68" i="1"/>
  <c r="D57" i="1"/>
  <c r="C57" i="1"/>
  <c r="N30" i="1"/>
  <c r="B57" i="1" s="1"/>
  <c r="E34" i="1"/>
  <c r="G34" i="1" s="1"/>
  <c r="E33" i="1"/>
  <c r="G33" i="1" s="1"/>
  <c r="E32" i="1"/>
  <c r="G32" i="1" s="1"/>
  <c r="E31" i="1"/>
  <c r="G31" i="1" s="1"/>
  <c r="B62" i="8"/>
  <c r="B54" i="8"/>
  <c r="B40" i="8"/>
  <c r="D39" i="8"/>
  <c r="D38" i="8"/>
  <c r="D37" i="8"/>
  <c r="D36" i="8"/>
  <c r="D35" i="8"/>
  <c r="D34" i="8"/>
  <c r="I24" i="8"/>
  <c r="J24" i="8" s="1"/>
  <c r="K52" i="8" s="1"/>
  <c r="I23" i="8"/>
  <c r="J23" i="8" s="1"/>
  <c r="K51" i="8" s="1"/>
  <c r="I22" i="8"/>
  <c r="J22" i="8" s="1"/>
  <c r="K50" i="8" s="1"/>
  <c r="I21" i="8"/>
  <c r="J21" i="8" s="1"/>
  <c r="K49" i="8" s="1"/>
  <c r="I20" i="8"/>
  <c r="J20" i="8" s="1"/>
  <c r="D12" i="8"/>
  <c r="C12" i="8"/>
  <c r="P32" i="1" l="1"/>
  <c r="R32" i="1" s="1"/>
  <c r="O32" i="1"/>
  <c r="Q32" i="1" s="1"/>
  <c r="P33" i="1"/>
  <c r="R33" i="1" s="1"/>
  <c r="O33" i="1"/>
  <c r="Q33" i="1" s="1"/>
  <c r="P31" i="1"/>
  <c r="R31" i="1" s="1"/>
  <c r="D58" i="1" s="1"/>
  <c r="O31" i="1"/>
  <c r="Q31" i="1" s="1"/>
  <c r="P34" i="1"/>
  <c r="R34" i="1" s="1"/>
  <c r="O34" i="1"/>
  <c r="Q34" i="1" s="1"/>
  <c r="C61" i="1" s="1"/>
  <c r="D60" i="1"/>
  <c r="C59" i="1"/>
  <c r="D59" i="1"/>
  <c r="D61" i="1"/>
  <c r="C60" i="1"/>
  <c r="K54" i="8"/>
  <c r="B70" i="8" s="1"/>
  <c r="C70" i="8" s="1"/>
  <c r="K48" i="8"/>
  <c r="J47" i="1"/>
  <c r="G71" i="1" s="1"/>
  <c r="F71" i="1"/>
  <c r="J45" i="1"/>
  <c r="G69" i="1" s="1"/>
  <c r="F69" i="1"/>
  <c r="J48" i="1"/>
  <c r="P48" i="1" s="1"/>
  <c r="E61" i="1" s="1"/>
  <c r="F72" i="1"/>
  <c r="J46" i="1"/>
  <c r="G70" i="1" s="1"/>
  <c r="F70" i="1"/>
  <c r="J44" i="1"/>
  <c r="G68" i="1" s="1"/>
  <c r="F68" i="1"/>
  <c r="E70" i="1"/>
  <c r="E69" i="1"/>
  <c r="E71" i="1"/>
  <c r="N34" i="1"/>
  <c r="B61" i="1" s="1"/>
  <c r="E72" i="1"/>
  <c r="N33" i="1"/>
  <c r="B60" i="1" s="1"/>
  <c r="N32" i="1"/>
  <c r="B59" i="1" s="1"/>
  <c r="D40" i="8"/>
  <c r="I37" i="8" s="1"/>
  <c r="C58" i="1"/>
  <c r="N31" i="1"/>
  <c r="B58" i="1" s="1"/>
  <c r="C40" i="8"/>
  <c r="H37" i="8" s="1"/>
  <c r="E36" i="8"/>
  <c r="K22" i="8"/>
  <c r="E37" i="8"/>
  <c r="K23" i="8"/>
  <c r="K24" i="8"/>
  <c r="E38" i="8"/>
  <c r="K20" i="8"/>
  <c r="E34" i="8"/>
  <c r="K21" i="8"/>
  <c r="E35" i="8"/>
  <c r="G36" i="8" l="1"/>
  <c r="F36" i="8"/>
  <c r="G35" i="8"/>
  <c r="F35" i="8"/>
  <c r="F38" i="8"/>
  <c r="G38" i="8"/>
  <c r="F37" i="8"/>
  <c r="G37" i="8"/>
  <c r="F34" i="8"/>
  <c r="G34" i="8"/>
  <c r="I39" i="8"/>
  <c r="R47" i="1"/>
  <c r="T47" i="1" s="1"/>
  <c r="G60" i="1" s="1"/>
  <c r="J60" i="1" s="1"/>
  <c r="J71" i="1" s="1"/>
  <c r="P47" i="1"/>
  <c r="E60" i="1" s="1"/>
  <c r="H60" i="1" s="1"/>
  <c r="H71" i="1" s="1"/>
  <c r="Q47" i="1"/>
  <c r="S47" i="1" s="1"/>
  <c r="F60" i="1" s="1"/>
  <c r="I60" i="1" s="1"/>
  <c r="I71" i="1" s="1"/>
  <c r="I38" i="8"/>
  <c r="G72" i="1"/>
  <c r="G74" i="1" s="1"/>
  <c r="H61" i="1"/>
  <c r="H72" i="1" s="1"/>
  <c r="R48" i="1"/>
  <c r="T48" i="1" s="1"/>
  <c r="G61" i="1" s="1"/>
  <c r="J61" i="1" s="1"/>
  <c r="J72" i="1" s="1"/>
  <c r="R44" i="1"/>
  <c r="T44" i="1" s="1"/>
  <c r="G57" i="1" s="1"/>
  <c r="J57" i="1" s="1"/>
  <c r="J68" i="1" s="1"/>
  <c r="Q45" i="1"/>
  <c r="S45" i="1" s="1"/>
  <c r="F58" i="1" s="1"/>
  <c r="I58" i="1" s="1"/>
  <c r="I69" i="1" s="1"/>
  <c r="P45" i="1"/>
  <c r="E58" i="1" s="1"/>
  <c r="H58" i="1" s="1"/>
  <c r="H69" i="1" s="1"/>
  <c r="R45" i="1"/>
  <c r="T45" i="1" s="1"/>
  <c r="G58" i="1" s="1"/>
  <c r="J58" i="1" s="1"/>
  <c r="J69" i="1" s="1"/>
  <c r="R46" i="1"/>
  <c r="T46" i="1" s="1"/>
  <c r="G59" i="1" s="1"/>
  <c r="J59" i="1" s="1"/>
  <c r="J70" i="1" s="1"/>
  <c r="Q46" i="1"/>
  <c r="S46" i="1" s="1"/>
  <c r="F59" i="1" s="1"/>
  <c r="I59" i="1" s="1"/>
  <c r="I70" i="1" s="1"/>
  <c r="P46" i="1"/>
  <c r="E59" i="1" s="1"/>
  <c r="H59" i="1" s="1"/>
  <c r="H70" i="1" s="1"/>
  <c r="Q44" i="1"/>
  <c r="S44" i="1" s="1"/>
  <c r="F57" i="1" s="1"/>
  <c r="I57" i="1" s="1"/>
  <c r="I68" i="1" s="1"/>
  <c r="Q48" i="1"/>
  <c r="S48" i="1" s="1"/>
  <c r="F61" i="1" s="1"/>
  <c r="I61" i="1" s="1"/>
  <c r="I72" i="1" s="1"/>
  <c r="P44" i="1"/>
  <c r="E57" i="1" s="1"/>
  <c r="F74" i="1"/>
  <c r="E83" i="1" s="1"/>
  <c r="E84" i="1" s="1"/>
  <c r="B95" i="1" s="1"/>
  <c r="E74" i="1"/>
  <c r="F83" i="1" s="1"/>
  <c r="F84" i="1" s="1"/>
  <c r="C95" i="1" s="1"/>
  <c r="I34" i="8"/>
  <c r="I36" i="8"/>
  <c r="I35" i="8"/>
  <c r="H35" i="8"/>
  <c r="H39" i="8"/>
  <c r="H34" i="8"/>
  <c r="H38" i="8"/>
  <c r="H36" i="8"/>
  <c r="E40" i="8"/>
  <c r="E12" i="1"/>
  <c r="F12" i="1"/>
  <c r="G12" i="1"/>
  <c r="C12" i="1"/>
  <c r="D95" i="1" l="1"/>
  <c r="J39" i="8"/>
  <c r="J37" i="8"/>
  <c r="J36" i="8"/>
  <c r="J35" i="8"/>
  <c r="J38" i="8"/>
  <c r="G40" i="8"/>
  <c r="F40" i="8"/>
  <c r="K34" i="8" s="1"/>
  <c r="H57" i="1"/>
  <c r="H68" i="1" s="1"/>
  <c r="H74" i="1" s="1"/>
  <c r="J54" i="8"/>
  <c r="G83" i="1"/>
  <c r="G84" i="1" s="1"/>
  <c r="G85" i="1" s="1"/>
  <c r="C94" i="1"/>
  <c r="I74" i="1"/>
  <c r="I83" i="1" s="1"/>
  <c r="B94" i="1"/>
  <c r="D94" i="1" s="1"/>
  <c r="J74" i="1"/>
  <c r="J83" i="1" s="1"/>
  <c r="F54" i="8"/>
  <c r="C62" i="8" s="1"/>
  <c r="D62" i="8" s="1"/>
  <c r="E62" i="8" s="1"/>
  <c r="I40" i="8"/>
  <c r="I54" i="8"/>
  <c r="N54" i="8"/>
  <c r="H40" i="8"/>
  <c r="M54" i="8"/>
  <c r="H54" i="8"/>
  <c r="G54" i="8"/>
  <c r="J34" i="8"/>
  <c r="M62" i="8" l="1"/>
  <c r="O62" i="8" s="1"/>
  <c r="N62" i="8"/>
  <c r="P62" i="8" s="1"/>
  <c r="L62" i="8"/>
  <c r="L35" i="8"/>
  <c r="L36" i="8"/>
  <c r="L39" i="8"/>
  <c r="L38" i="8"/>
  <c r="L37" i="8"/>
  <c r="L34" i="8"/>
  <c r="K36" i="8"/>
  <c r="K39" i="8"/>
  <c r="K38" i="8"/>
  <c r="K37" i="8"/>
  <c r="O54" i="8" s="1"/>
  <c r="E70" i="8" s="1"/>
  <c r="K35" i="8"/>
  <c r="K40" i="8" s="1"/>
  <c r="J84" i="1"/>
  <c r="C129" i="1"/>
  <c r="C128" i="1"/>
  <c r="I84" i="1"/>
  <c r="B129" i="1"/>
  <c r="B128" i="1"/>
  <c r="H83" i="1"/>
  <c r="L54" i="8"/>
  <c r="D70" i="8" s="1"/>
  <c r="J70" i="8" s="1"/>
  <c r="J78" i="8" s="1"/>
  <c r="L70" i="8"/>
  <c r="K70" i="8"/>
  <c r="J40" i="8"/>
  <c r="P54" i="8" l="1"/>
  <c r="F70" i="8" s="1"/>
  <c r="N70" i="8" s="1"/>
  <c r="N78" i="8" s="1"/>
  <c r="L40" i="8"/>
  <c r="H84" i="1"/>
  <c r="B112" i="1"/>
  <c r="B111" i="1"/>
  <c r="M70" i="8"/>
  <c r="M78" i="8" s="1"/>
</calcChain>
</file>

<file path=xl/sharedStrings.xml><?xml version="1.0" encoding="utf-8"?>
<sst xmlns="http://schemas.openxmlformats.org/spreadsheetml/2006/main" count="441" uniqueCount="190">
  <si>
    <t>Futtermittel</t>
  </si>
  <si>
    <t>Grassilage</t>
  </si>
  <si>
    <t>Maissilage</t>
  </si>
  <si>
    <t xml:space="preserve">Körnermais </t>
  </si>
  <si>
    <t>Gerste</t>
  </si>
  <si>
    <t>Rapsextraktionsschrot</t>
  </si>
  <si>
    <t>Mineralstoffe</t>
  </si>
  <si>
    <t>OM, g/kg TM</t>
  </si>
  <si>
    <t>MCP, g/kg TM</t>
  </si>
  <si>
    <t>CA, g/kg TM</t>
  </si>
  <si>
    <t>DOM, g/kg TM</t>
  </si>
  <si>
    <t>CP, g/kg TM</t>
  </si>
  <si>
    <t>a, %</t>
  </si>
  <si>
    <t>b, %</t>
  </si>
  <si>
    <t>c, %/h</t>
  </si>
  <si>
    <t>lag, h</t>
  </si>
  <si>
    <t>UDP, %</t>
  </si>
  <si>
    <t>UDP, g/kg TM</t>
  </si>
  <si>
    <t>RDP, g/kg TM</t>
  </si>
  <si>
    <t>TM, %</t>
  </si>
  <si>
    <t>Trockenschlempe</t>
  </si>
  <si>
    <t>Lys, g/100 g CP</t>
  </si>
  <si>
    <t>Met, g/100 g CP</t>
  </si>
  <si>
    <t xml:space="preserve">Melasseschnitzel </t>
  </si>
  <si>
    <t>TM, g/kg TM</t>
  </si>
  <si>
    <t>1) Futtermitteltabelle</t>
  </si>
  <si>
    <t>EDG, %</t>
  </si>
  <si>
    <t>Passagerate</t>
  </si>
  <si>
    <t>Grobfutter</t>
  </si>
  <si>
    <t>Saftfutter</t>
  </si>
  <si>
    <t>Mischfutter</t>
  </si>
  <si>
    <t>% der OM</t>
  </si>
  <si>
    <t>% des CP</t>
  </si>
  <si>
    <t>% des UDP</t>
  </si>
  <si>
    <t>4) Berechnung der Futterwertparameter des Mischfutters</t>
  </si>
  <si>
    <t>OMD, %</t>
  </si>
  <si>
    <t>sidP, g/kg TM</t>
  </si>
  <si>
    <t>sidLys, g/kg TM</t>
  </si>
  <si>
    <t>sidMet, g/kg TM</t>
  </si>
  <si>
    <t>Gew. OM</t>
  </si>
  <si>
    <t>Gew. CP</t>
  </si>
  <si>
    <t>Gew. UDP</t>
  </si>
  <si>
    <t>Heu</t>
  </si>
  <si>
    <t>Beispiel zu Leitfaden Proteinbewertung - Rationsberechnung</t>
  </si>
  <si>
    <t>Ration</t>
  </si>
  <si>
    <t>Lebendmasse</t>
  </si>
  <si>
    <t>TM-Aufnahme</t>
  </si>
  <si>
    <t>Gew. TM</t>
  </si>
  <si>
    <t>k, %/h</t>
  </si>
  <si>
    <t>Konzentratfutter</t>
  </si>
  <si>
    <t>TM, kg/d</t>
  </si>
  <si>
    <t>CP, g/d</t>
  </si>
  <si>
    <t>MCP, g/d</t>
  </si>
  <si>
    <t>UDP, g/d</t>
  </si>
  <si>
    <t>sidP, g/d</t>
  </si>
  <si>
    <t>sidLys, g/d</t>
  </si>
  <si>
    <t>sidMet, g/d</t>
  </si>
  <si>
    <t>Ration, g/d</t>
  </si>
  <si>
    <t>Ration, g/kg TM</t>
  </si>
  <si>
    <t>Ration, % des CP</t>
  </si>
  <si>
    <t>RDP, g/d</t>
  </si>
  <si>
    <t>RMD</t>
  </si>
  <si>
    <t>Futterart</t>
  </si>
  <si>
    <t>KF</t>
  </si>
  <si>
    <t>GF</t>
  </si>
  <si>
    <t>Milchleistung, kg/d</t>
  </si>
  <si>
    <t>Körpermasse, kg</t>
  </si>
  <si>
    <t>TM-Aufnahme, kg/d</t>
  </si>
  <si>
    <t>Milchproteingehalt, %</t>
  </si>
  <si>
    <t>KM-Zuwachs, g/d</t>
  </si>
  <si>
    <t>Komponente</t>
  </si>
  <si>
    <t>sidP-Bedarf, g/d</t>
  </si>
  <si>
    <t>Kotverluste (OFN)</t>
  </si>
  <si>
    <t>Milchprotein</t>
  </si>
  <si>
    <t>Trächtigkeit</t>
  </si>
  <si>
    <t>Wachstum</t>
  </si>
  <si>
    <t>Gesamt</t>
  </si>
  <si>
    <t>Aufnahme-Bedarf, g/d</t>
  </si>
  <si>
    <t>Aufnahme-Bedarf, %</t>
  </si>
  <si>
    <t>&gt; 0 =&gt; Überversorgung; &lt; 0 =&gt; Mangel</t>
  </si>
  <si>
    <t>2) Berechnung des Futteraufnahmeniveaus</t>
  </si>
  <si>
    <t>4) Berechnung von an FAN angepasstes dünndarmverdauliches, im Pansen nicht abgebautes Rohprotein für Einzelkomponenten</t>
  </si>
  <si>
    <t>8) Berechnung der RDP/MCP-Differenz</t>
  </si>
  <si>
    <t>9) Ermittlung des Proteinbedarfs der Milchkuh</t>
  </si>
  <si>
    <t>Verwertungskoeffizient</t>
  </si>
  <si>
    <t>Trächtigkeitstag</t>
  </si>
  <si>
    <t>sidLys-Bedarf, g/d</t>
  </si>
  <si>
    <t>sidMet-Bedarf, g/d</t>
  </si>
  <si>
    <t>Gleichung 17</t>
  </si>
  <si>
    <t>Gleichung 18</t>
  </si>
  <si>
    <t>Gleichung 3</t>
  </si>
  <si>
    <t>Gleichung 2</t>
  </si>
  <si>
    <t>Gleichung 4</t>
  </si>
  <si>
    <t>Gleichung 12</t>
  </si>
  <si>
    <t>Gleichung 14</t>
  </si>
  <si>
    <t>Gleichung 7</t>
  </si>
  <si>
    <t>Gleichung 8</t>
  </si>
  <si>
    <t>Gleichung 10</t>
  </si>
  <si>
    <t>Gleichung 13</t>
  </si>
  <si>
    <t>Gleichung 15</t>
  </si>
  <si>
    <t>Gleichung 11</t>
  </si>
  <si>
    <t>Gleichung 16</t>
  </si>
  <si>
    <t>Gleichung 9</t>
  </si>
  <si>
    <t>Gleichung 1</t>
  </si>
  <si>
    <t>Gleichung 6</t>
  </si>
  <si>
    <t>Gleichung 5</t>
  </si>
  <si>
    <t>Gleichung 19</t>
  </si>
  <si>
    <t>MCP/DOM, g/kg</t>
  </si>
  <si>
    <t>Gleichung 20, 21 u. 22</t>
  </si>
  <si>
    <t>zu Gleichung 5</t>
  </si>
  <si>
    <t>zu Glg. 20, 21 u. 22</t>
  </si>
  <si>
    <t>Gleichung 23 u. 24</t>
  </si>
  <si>
    <t>Gleichung 25</t>
  </si>
  <si>
    <t>Gleichung 25 u. 27</t>
  </si>
  <si>
    <t>Gleichung 29</t>
  </si>
  <si>
    <t>Gleichung 30</t>
  </si>
  <si>
    <t>Gleichung 31</t>
  </si>
  <si>
    <t>Gleichung 32</t>
  </si>
  <si>
    <t>Gleichung 33</t>
  </si>
  <si>
    <t>Gleichung 34</t>
  </si>
  <si>
    <t>Gleichung 35</t>
  </si>
  <si>
    <t>Gleichung 36</t>
  </si>
  <si>
    <r>
      <t>k, h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</si>
  <si>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r>
      <t>c, h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</si>
  <si>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TM, g/kg FM</t>
  </si>
  <si>
    <t>UDP, % des CP</t>
  </si>
  <si>
    <t>OMD(FAN1), %</t>
  </si>
  <si>
    <t>7) Berechnung der Konzentration an sidP/sidAA und UDP-Anteil in der Ration</t>
  </si>
  <si>
    <t>5) Berechnung der Konzentration an sidP/sidAA in Einzelkomponenten</t>
  </si>
  <si>
    <t>Gleichung 30 u. 37</t>
  </si>
  <si>
    <t>Gleichung 31 u. 37</t>
  </si>
  <si>
    <t>Gleichung 32 u. 37</t>
  </si>
  <si>
    <t>Gleichung 33 u. 37</t>
  </si>
  <si>
    <t>Gleichung 34 u. 37</t>
  </si>
  <si>
    <t>Gleichung 35 u. 37</t>
  </si>
  <si>
    <t>3) Berechnung von an FAN angepasstes dünndarmverdauliches mikrobielles Protein für Einzelkomponenten</t>
  </si>
  <si>
    <t>Beispiel zu Leitfaden Proteinbewertung und -versorgung von Milchkühen - Futterbewertung Mischfutter</t>
  </si>
  <si>
    <t>2) Berechnung der UDP-Konzentration der Futtermittel</t>
  </si>
  <si>
    <t xml:space="preserve">3) Berechnung des Anteils der Einzelkomponenten an CP, OM und UDP </t>
  </si>
  <si>
    <t>ad Kap. 2.3 im Leitfaden Proteinbewertung und -versorgung von Milchkühen</t>
  </si>
  <si>
    <t>ad Kap. 2.1 im Leitfaden Proteinbewertung und -versorgung von Milchkühen</t>
  </si>
  <si>
    <t>ad Kap. 3.9 im Leitfaden Proteinbewertung und -versorgung von Milchkühen</t>
  </si>
  <si>
    <t>ad Kap. 3.8 im Leitfaden Proteinbewertung und -versorgung von Milchkühen</t>
  </si>
  <si>
    <t>ad Kap. 3.7 im Leitfaden Proteinbewertung und -versorgung von Milchkühen</t>
  </si>
  <si>
    <t>ad Kap. 3.6 im Leitfaden Proteinbewertung und -versorgung von Milchkühen</t>
  </si>
  <si>
    <t>ad Kap. 3.5 im Leitfaden Proteinbewertung und -versorgung von Milchkühen</t>
  </si>
  <si>
    <t>ad Kap. 3.4 im Leitfaden Proteinbewertung und -versorgung von Milchkühen</t>
  </si>
  <si>
    <t>ad Kap. 3.3 im Leitfaden Proteinbewertung und -versorgung von Milchkühen</t>
  </si>
  <si>
    <t>ad Kap. 3.2 im Leitfaden Proteinbewertung und -versorgung von Milchkühen</t>
  </si>
  <si>
    <t>Lys aus UDP, g/kg TM</t>
  </si>
  <si>
    <t>Met aus UDP, g/kg TM</t>
  </si>
  <si>
    <t>% des Lys aus UDP</t>
  </si>
  <si>
    <t>% des Met aus UDP</t>
  </si>
  <si>
    <t>Gew. Lys aus UDP</t>
  </si>
  <si>
    <t>Gew. Met aus UDP</t>
  </si>
  <si>
    <t>siDUDP, %</t>
  </si>
  <si>
    <t>siDUDLys, %</t>
  </si>
  <si>
    <t>siDUDMet, %</t>
  </si>
  <si>
    <t>5) Berechnung des dünndarmverdaulichen mikrobiellen Proteins und der dünndarmverdaulichen Aminosäuren im MCP</t>
  </si>
  <si>
    <t>6) Berechnung des dünndarmverdaulichen, im Pansen nicht abgebauten Rohproteins und der dünndarmverdaulichen Aminosäuren im UDP</t>
  </si>
  <si>
    <t>AS-N in MCP, %</t>
  </si>
  <si>
    <t>Lys in MCP, g/100 g MCP</t>
  </si>
  <si>
    <t>Met in MCP, g/100 g MCP</t>
  </si>
  <si>
    <t>Lys aus MCP, g/kg TM</t>
  </si>
  <si>
    <t>Met aus MCP, g/kg TM</t>
  </si>
  <si>
    <t>sidLys aus MCP, g/kg TM</t>
  </si>
  <si>
    <t>sidMet aus MCP, g/kg TM</t>
  </si>
  <si>
    <t>sidLys aus UDP, g/kg TM</t>
  </si>
  <si>
    <t>sidMet aus UDP, g/kg TM</t>
  </si>
  <si>
    <t>7 Berechnung des dünndarmverdaulichen Proteins und der dünndarmverdaulichen Aminosäuren</t>
  </si>
  <si>
    <t>ad Kap. 2.2 und 2.5 im Leitfaden Proteinbewertung und -versorgung von Milchkühen</t>
  </si>
  <si>
    <t>ad Kap. 2.3 und 2.5 im Leitfaden Proteinbewertung und -versorgung von Milchkühen</t>
  </si>
  <si>
    <t>ad Kap. 2.4 und 2.5 im Leitfaden Proteinbewertung und -versorgung von Milchkühen</t>
  </si>
  <si>
    <t>Ration, g N/d</t>
  </si>
  <si>
    <t>Ration, g N/kg TM</t>
  </si>
  <si>
    <t>gilt für OFN, SN und Milchprotein</t>
  </si>
  <si>
    <t>Harnverluste (OUN)</t>
  </si>
  <si>
    <t>Oberflächenverluste (SN)</t>
  </si>
  <si>
    <t>FANi</t>
  </si>
  <si>
    <t>OMD(FANi), %</t>
  </si>
  <si>
    <t>DOM(FANi), g/kg TM</t>
  </si>
  <si>
    <t>RDP</t>
  </si>
  <si>
    <t>MCP</t>
  </si>
  <si>
    <t>10) Ermittlung des Aminosäurenbedarfs der Milchkuh</t>
  </si>
  <si>
    <t>6) Berechnung der täglichen Aufnahme sidP/sidAA aus der Gesamtration</t>
  </si>
  <si>
    <t>siDMLys, %</t>
  </si>
  <si>
    <t>siDMMet, %</t>
  </si>
  <si>
    <t>sidP aus MCP, g/kg TM</t>
  </si>
  <si>
    <t>sidP aus UDP, g/kg TM</t>
  </si>
  <si>
    <t>siDMAA,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</si>
</sst>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ont="1"/>
    <xf numFmtId="3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3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zoomScaleNormal="100" workbookViewId="0"/>
  </sheetViews>
  <sheetFormatPr baseColWidth="10" defaultRowHeight="14.4" x14ac:dyDescent="0.3"/>
  <cols>
    <col min="1" max="1" width="21.88671875" customWidth="1"/>
    <col min="2" max="3" width="14.44140625" customWidth="1"/>
    <col min="4" max="4" width="14.109375" customWidth="1"/>
    <col min="5" max="5" width="13.44140625" customWidth="1"/>
    <col min="6" max="6" width="22.5546875" bestFit="1" customWidth="1"/>
    <col min="7" max="7" width="23.5546875" bestFit="1" customWidth="1"/>
    <col min="8" max="8" width="19.44140625" customWidth="1"/>
    <col min="9" max="9" width="20.6640625" customWidth="1"/>
    <col min="10" max="10" width="21.88671875" customWidth="1"/>
    <col min="11" max="11" width="20.44140625" customWidth="1"/>
    <col min="12" max="12" width="21.33203125" customWidth="1"/>
    <col min="13" max="13" width="22.6640625" bestFit="1" customWidth="1"/>
    <col min="14" max="15" width="23.6640625" bestFit="1" customWidth="1"/>
    <col min="16" max="16" width="24.5546875" bestFit="1" customWidth="1"/>
    <col min="17" max="17" width="13.109375" bestFit="1" customWidth="1"/>
  </cols>
  <sheetData>
    <row r="1" spans="1:20" ht="21" x14ac:dyDescent="0.4">
      <c r="A1" s="9" t="s">
        <v>136</v>
      </c>
    </row>
    <row r="3" spans="1:20" x14ac:dyDescent="0.3">
      <c r="A3" t="s">
        <v>25</v>
      </c>
    </row>
    <row r="5" spans="1:20" x14ac:dyDescent="0.3">
      <c r="A5" s="1" t="s">
        <v>0</v>
      </c>
      <c r="B5" s="1" t="s">
        <v>62</v>
      </c>
      <c r="C5" s="2" t="s">
        <v>19</v>
      </c>
      <c r="D5" s="2" t="s">
        <v>24</v>
      </c>
      <c r="E5" s="2" t="s">
        <v>11</v>
      </c>
      <c r="F5" s="2" t="s">
        <v>9</v>
      </c>
      <c r="G5" s="2" t="s">
        <v>7</v>
      </c>
      <c r="H5" s="2" t="s">
        <v>126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155</v>
      </c>
      <c r="N5" s="2" t="s">
        <v>21</v>
      </c>
      <c r="O5" s="2" t="s">
        <v>22</v>
      </c>
      <c r="P5" s="2" t="s">
        <v>156</v>
      </c>
      <c r="Q5" s="2" t="s">
        <v>157</v>
      </c>
    </row>
    <row r="6" spans="1:20" x14ac:dyDescent="0.3">
      <c r="A6" t="s">
        <v>3</v>
      </c>
      <c r="B6" s="3" t="s">
        <v>63</v>
      </c>
      <c r="C6" s="3">
        <v>30</v>
      </c>
      <c r="D6" s="3">
        <v>880</v>
      </c>
      <c r="E6" s="3">
        <v>93</v>
      </c>
      <c r="F6" s="3">
        <v>17</v>
      </c>
      <c r="G6" s="3">
        <v>983</v>
      </c>
      <c r="H6" s="3">
        <v>85</v>
      </c>
      <c r="I6" s="3">
        <v>21</v>
      </c>
      <c r="J6" s="3">
        <v>77</v>
      </c>
      <c r="K6" s="3">
        <v>7</v>
      </c>
      <c r="L6" s="3">
        <v>0.1</v>
      </c>
      <c r="M6" s="3">
        <v>96</v>
      </c>
      <c r="N6" s="3">
        <v>2.8</v>
      </c>
      <c r="O6" s="3">
        <v>2</v>
      </c>
      <c r="P6" s="3">
        <v>88</v>
      </c>
      <c r="Q6" s="3">
        <v>83</v>
      </c>
    </row>
    <row r="7" spans="1:20" x14ac:dyDescent="0.3">
      <c r="A7" t="s">
        <v>4</v>
      </c>
      <c r="B7" s="3" t="s">
        <v>63</v>
      </c>
      <c r="C7" s="3">
        <v>25</v>
      </c>
      <c r="D7" s="3">
        <v>880</v>
      </c>
      <c r="E7" s="3">
        <v>123</v>
      </c>
      <c r="F7" s="3">
        <v>30</v>
      </c>
      <c r="G7" s="3">
        <v>970</v>
      </c>
      <c r="H7" s="3">
        <v>87</v>
      </c>
      <c r="I7" s="3">
        <v>26</v>
      </c>
      <c r="J7" s="3">
        <v>72</v>
      </c>
      <c r="K7" s="3">
        <v>19</v>
      </c>
      <c r="L7" s="3">
        <v>0</v>
      </c>
      <c r="M7" s="3">
        <v>90</v>
      </c>
      <c r="N7" s="3">
        <v>3.6</v>
      </c>
      <c r="O7" s="3">
        <v>1.5</v>
      </c>
      <c r="P7" s="3">
        <v>77</v>
      </c>
      <c r="Q7" s="3">
        <v>86</v>
      </c>
      <c r="S7" s="1"/>
      <c r="T7" s="5"/>
    </row>
    <row r="8" spans="1:20" x14ac:dyDescent="0.3">
      <c r="A8" t="s">
        <v>23</v>
      </c>
      <c r="B8" s="3" t="s">
        <v>63</v>
      </c>
      <c r="C8" s="3">
        <v>12</v>
      </c>
      <c r="D8" s="3">
        <v>900</v>
      </c>
      <c r="E8" s="3">
        <v>96</v>
      </c>
      <c r="F8" s="3">
        <v>75</v>
      </c>
      <c r="G8" s="3">
        <v>925</v>
      </c>
      <c r="H8" s="3">
        <v>90</v>
      </c>
      <c r="I8" s="3">
        <v>19</v>
      </c>
      <c r="J8" s="3">
        <v>77</v>
      </c>
      <c r="K8" s="3">
        <v>11</v>
      </c>
      <c r="L8" s="3">
        <v>0</v>
      </c>
      <c r="M8" s="3">
        <v>73</v>
      </c>
      <c r="N8" s="3">
        <v>5.5</v>
      </c>
      <c r="O8" s="3">
        <v>1.6</v>
      </c>
      <c r="P8" s="3">
        <v>84</v>
      </c>
      <c r="Q8" s="3">
        <v>80</v>
      </c>
    </row>
    <row r="9" spans="1:20" x14ac:dyDescent="0.3">
      <c r="A9" t="s">
        <v>5</v>
      </c>
      <c r="B9" s="3" t="s">
        <v>63</v>
      </c>
      <c r="C9" s="3">
        <v>15</v>
      </c>
      <c r="D9" s="3">
        <v>890</v>
      </c>
      <c r="E9" s="3">
        <v>385</v>
      </c>
      <c r="F9" s="3">
        <v>79</v>
      </c>
      <c r="G9" s="3">
        <v>921</v>
      </c>
      <c r="H9" s="3">
        <v>79</v>
      </c>
      <c r="I9" s="3">
        <v>16</v>
      </c>
      <c r="J9" s="3">
        <v>79</v>
      </c>
      <c r="K9" s="3">
        <v>12</v>
      </c>
      <c r="L9" s="3">
        <v>0.1</v>
      </c>
      <c r="M9" s="3">
        <v>81</v>
      </c>
      <c r="N9" s="3">
        <v>4.4000000000000004</v>
      </c>
      <c r="O9" s="3">
        <v>2</v>
      </c>
      <c r="P9" s="3">
        <v>79</v>
      </c>
      <c r="Q9" s="3">
        <v>84</v>
      </c>
    </row>
    <row r="10" spans="1:20" x14ac:dyDescent="0.3">
      <c r="A10" t="s">
        <v>20</v>
      </c>
      <c r="B10" s="3" t="s">
        <v>63</v>
      </c>
      <c r="C10" s="3">
        <v>15</v>
      </c>
      <c r="D10" s="3">
        <v>900</v>
      </c>
      <c r="E10" s="3">
        <v>356</v>
      </c>
      <c r="F10" s="3">
        <v>50</v>
      </c>
      <c r="G10" s="3">
        <v>950</v>
      </c>
      <c r="H10" s="3">
        <v>78</v>
      </c>
      <c r="I10" s="3">
        <v>26</v>
      </c>
      <c r="J10" s="3">
        <v>62</v>
      </c>
      <c r="K10" s="3">
        <v>18</v>
      </c>
      <c r="L10" s="3">
        <v>0</v>
      </c>
      <c r="M10" s="3">
        <v>92</v>
      </c>
      <c r="N10" s="3">
        <v>2.1</v>
      </c>
      <c r="O10" s="3">
        <v>1.5</v>
      </c>
      <c r="P10" s="3">
        <v>86</v>
      </c>
      <c r="Q10" s="3">
        <v>91</v>
      </c>
    </row>
    <row r="11" spans="1:20" x14ac:dyDescent="0.3">
      <c r="A11" t="s">
        <v>6</v>
      </c>
      <c r="B11" s="3" t="s">
        <v>63</v>
      </c>
      <c r="C11" s="3">
        <v>3</v>
      </c>
      <c r="D11" s="3">
        <v>960</v>
      </c>
      <c r="E11" s="3">
        <v>0</v>
      </c>
      <c r="F11" s="3">
        <v>904</v>
      </c>
      <c r="G11" s="3">
        <v>96</v>
      </c>
      <c r="H11" s="3">
        <v>70</v>
      </c>
      <c r="I11" s="3"/>
      <c r="J11" s="3"/>
      <c r="K11" s="3"/>
      <c r="L11" s="3"/>
      <c r="M11" s="3"/>
      <c r="N11" s="3"/>
    </row>
    <row r="12" spans="1:20" s="1" customFormat="1" x14ac:dyDescent="0.3">
      <c r="A12" s="1" t="s">
        <v>30</v>
      </c>
      <c r="C12" s="2">
        <f>SUM(C6:C11)</f>
        <v>100</v>
      </c>
      <c r="D12" s="11">
        <f>$C$6/100*D6+$C$7/100*D7+$C$8/100*D8+$C$9/100*D9+$C$10/100*D10+$C$11/100*D11</f>
        <v>889.3</v>
      </c>
      <c r="E12" s="11"/>
      <c r="F12" s="11"/>
      <c r="G12" s="11"/>
      <c r="H12" s="2"/>
      <c r="I12" s="2"/>
      <c r="J12" s="2"/>
      <c r="K12" s="2"/>
      <c r="L12" s="2"/>
      <c r="M12" s="2"/>
      <c r="N12" s="2"/>
    </row>
    <row r="13" spans="1:20" s="1" customFormat="1" x14ac:dyDescent="0.3">
      <c r="C13" s="2"/>
      <c r="D13" s="11"/>
      <c r="E13" s="11"/>
      <c r="F13" s="11"/>
      <c r="G13" s="11"/>
      <c r="H13" s="2"/>
      <c r="I13" s="2"/>
      <c r="J13" s="2"/>
      <c r="K13" s="2"/>
      <c r="L13" s="2"/>
      <c r="M13" s="2"/>
      <c r="N13" s="2"/>
    </row>
    <row r="14" spans="1:20" s="1" customFormat="1" x14ac:dyDescent="0.3">
      <c r="C14" s="2"/>
      <c r="D14" s="11"/>
      <c r="E14" s="11"/>
      <c r="F14" s="11"/>
      <c r="G14" s="11"/>
      <c r="H14" s="2"/>
      <c r="I14" s="2"/>
      <c r="J14" s="2"/>
      <c r="K14" s="2"/>
      <c r="L14" s="2"/>
      <c r="M14" s="2"/>
      <c r="N14" s="2"/>
    </row>
    <row r="15" spans="1:20" x14ac:dyDescent="0.3">
      <c r="A15" s="1" t="s">
        <v>139</v>
      </c>
    </row>
    <row r="16" spans="1:20" x14ac:dyDescent="0.3">
      <c r="A16" s="1"/>
    </row>
    <row r="17" spans="1:14" x14ac:dyDescent="0.3">
      <c r="A17" t="s">
        <v>137</v>
      </c>
    </row>
    <row r="18" spans="1:14" x14ac:dyDescent="0.3">
      <c r="G18" s="12" t="s">
        <v>109</v>
      </c>
      <c r="H18" s="12" t="s">
        <v>105</v>
      </c>
      <c r="I18" s="12" t="s">
        <v>104</v>
      </c>
      <c r="J18" s="12" t="s">
        <v>95</v>
      </c>
      <c r="K18" s="12" t="s">
        <v>96</v>
      </c>
    </row>
    <row r="19" spans="1:14" ht="16.2" x14ac:dyDescent="0.3">
      <c r="A19" s="1" t="s">
        <v>0</v>
      </c>
      <c r="B19" s="2" t="s">
        <v>11</v>
      </c>
      <c r="C19" s="2" t="s">
        <v>12</v>
      </c>
      <c r="D19" s="2" t="s">
        <v>13</v>
      </c>
      <c r="E19" s="2" t="s">
        <v>123</v>
      </c>
      <c r="F19" s="2" t="s">
        <v>15</v>
      </c>
      <c r="G19" s="2" t="s">
        <v>122</v>
      </c>
      <c r="H19" s="2" t="s">
        <v>26</v>
      </c>
      <c r="I19" s="2" t="s">
        <v>18</v>
      </c>
      <c r="J19" s="2" t="s">
        <v>17</v>
      </c>
      <c r="K19" s="2" t="s">
        <v>16</v>
      </c>
      <c r="M19" s="18" t="s">
        <v>27</v>
      </c>
      <c r="N19" s="2" t="s">
        <v>48</v>
      </c>
    </row>
    <row r="20" spans="1:14" x14ac:dyDescent="0.3">
      <c r="A20" t="s">
        <v>3</v>
      </c>
      <c r="B20" s="3">
        <f t="shared" ref="B20:B25" si="0">E6</f>
        <v>93</v>
      </c>
      <c r="C20" s="3">
        <f t="shared" ref="C20:D24" si="1">I6</f>
        <v>21</v>
      </c>
      <c r="D20" s="3">
        <f t="shared" si="1"/>
        <v>77</v>
      </c>
      <c r="E20" s="28">
        <f>K6/100</f>
        <v>7.0000000000000007E-2</v>
      </c>
      <c r="F20" s="3">
        <f>L6</f>
        <v>0.1</v>
      </c>
      <c r="G20" s="3">
        <f>IF(B6="KF",$N$21/100,IF(B6="GF",$N$20/100,$N$22/100))</f>
        <v>3.5000000000000003E-2</v>
      </c>
      <c r="H20" s="7">
        <f>C20+((D20*E20)/(E20+G20))*(EXP(-G20*F20))</f>
        <v>72.153980716834639</v>
      </c>
      <c r="I20" s="8">
        <f>B20*H20/100</f>
        <v>67.103202066656209</v>
      </c>
      <c r="J20" s="8">
        <f>B20-I20</f>
        <v>25.896797933343791</v>
      </c>
      <c r="K20" s="7">
        <f>J20/B20*100</f>
        <v>27.846019283165369</v>
      </c>
      <c r="M20" t="s">
        <v>28</v>
      </c>
      <c r="N20" s="3">
        <v>2.6</v>
      </c>
    </row>
    <row r="21" spans="1:14" x14ac:dyDescent="0.3">
      <c r="A21" t="s">
        <v>4</v>
      </c>
      <c r="B21" s="3">
        <f t="shared" si="0"/>
        <v>123</v>
      </c>
      <c r="C21" s="3">
        <f t="shared" si="1"/>
        <v>26</v>
      </c>
      <c r="D21" s="3">
        <f t="shared" si="1"/>
        <v>72</v>
      </c>
      <c r="E21" s="28">
        <f>K7/100</f>
        <v>0.19</v>
      </c>
      <c r="F21" s="3">
        <f>L7</f>
        <v>0</v>
      </c>
      <c r="G21" s="3">
        <f>IF(B7="KF",$N$21/100,IF(B7="GF",$N$20/100,$N$22/100))</f>
        <v>3.5000000000000003E-2</v>
      </c>
      <c r="H21" s="7">
        <f t="shared" ref="H21:H24" si="2">C21+(D21*E21)/(E21+G21)*(EXP(-G21*F21))</f>
        <v>86.8</v>
      </c>
      <c r="I21" s="8">
        <f>B21*H21/100</f>
        <v>106.764</v>
      </c>
      <c r="J21" s="8">
        <f>B21-I21</f>
        <v>16.236000000000004</v>
      </c>
      <c r="K21" s="7">
        <f>J21/B21*100</f>
        <v>13.200000000000003</v>
      </c>
      <c r="M21" t="s">
        <v>49</v>
      </c>
      <c r="N21" s="3">
        <v>3.5</v>
      </c>
    </row>
    <row r="22" spans="1:14" x14ac:dyDescent="0.3">
      <c r="A22" t="s">
        <v>23</v>
      </c>
      <c r="B22" s="3">
        <f t="shared" si="0"/>
        <v>96</v>
      </c>
      <c r="C22" s="3">
        <f t="shared" si="1"/>
        <v>19</v>
      </c>
      <c r="D22" s="3">
        <f t="shared" si="1"/>
        <v>77</v>
      </c>
      <c r="E22" s="28">
        <f>K8/100</f>
        <v>0.11</v>
      </c>
      <c r="F22" s="3">
        <f>L8</f>
        <v>0</v>
      </c>
      <c r="G22" s="3">
        <f>IF(B8="KF",$N$21/100,IF(B8="GF",$N$20/100,$N$22/100))</f>
        <v>3.5000000000000003E-2</v>
      </c>
      <c r="H22" s="7">
        <f t="shared" si="2"/>
        <v>77.41379310344827</v>
      </c>
      <c r="I22" s="8">
        <f>B22*H22/100</f>
        <v>74.317241379310346</v>
      </c>
      <c r="J22" s="8">
        <f>B22-I22</f>
        <v>21.682758620689654</v>
      </c>
      <c r="K22" s="7">
        <f>J22/B22*100</f>
        <v>22.586206896551722</v>
      </c>
      <c r="M22" t="s">
        <v>29</v>
      </c>
      <c r="N22" s="3">
        <v>2.9</v>
      </c>
    </row>
    <row r="23" spans="1:14" x14ac:dyDescent="0.3">
      <c r="A23" t="s">
        <v>5</v>
      </c>
      <c r="B23" s="3">
        <f t="shared" si="0"/>
        <v>385</v>
      </c>
      <c r="C23" s="3">
        <f t="shared" si="1"/>
        <v>16</v>
      </c>
      <c r="D23" s="3">
        <f t="shared" si="1"/>
        <v>79</v>
      </c>
      <c r="E23" s="28">
        <f>K9/100</f>
        <v>0.12</v>
      </c>
      <c r="F23" s="3">
        <f>L9</f>
        <v>0.1</v>
      </c>
      <c r="G23" s="3">
        <f>IF(B9="KF",$N$21/100,IF(B9="GF",$N$20/100,$N$22/100))</f>
        <v>3.5000000000000003E-2</v>
      </c>
      <c r="H23" s="7">
        <f t="shared" si="2"/>
        <v>76.947599982688601</v>
      </c>
      <c r="I23" s="8">
        <f>B23*H23/100</f>
        <v>296.24825993335111</v>
      </c>
      <c r="J23" s="8">
        <f>B23-I23</f>
        <v>88.751740066648892</v>
      </c>
      <c r="K23" s="7">
        <f>J23/B23*100</f>
        <v>23.052400017311399</v>
      </c>
    </row>
    <row r="24" spans="1:14" x14ac:dyDescent="0.3">
      <c r="A24" t="s">
        <v>20</v>
      </c>
      <c r="B24" s="3">
        <f t="shared" si="0"/>
        <v>356</v>
      </c>
      <c r="C24" s="3">
        <f t="shared" si="1"/>
        <v>26</v>
      </c>
      <c r="D24" s="3">
        <f t="shared" si="1"/>
        <v>62</v>
      </c>
      <c r="E24" s="28">
        <f>K10/100</f>
        <v>0.18</v>
      </c>
      <c r="F24" s="3">
        <f>L10</f>
        <v>0</v>
      </c>
      <c r="G24" s="3">
        <f>IF(B10="KF",$N$21/100,IF(B10="GF",$N$20/100,$N$22/100))</f>
        <v>3.5000000000000003E-2</v>
      </c>
      <c r="H24" s="7">
        <f t="shared" si="2"/>
        <v>77.906976744186039</v>
      </c>
      <c r="I24" s="8">
        <f>B24*H24/100</f>
        <v>277.3488372093023</v>
      </c>
      <c r="J24" s="8">
        <f>B24-I24</f>
        <v>78.651162790697697</v>
      </c>
      <c r="K24" s="7">
        <f>J24/B24*100</f>
        <v>22.093023255813961</v>
      </c>
    </row>
    <row r="25" spans="1:14" x14ac:dyDescent="0.3">
      <c r="A25" t="s">
        <v>6</v>
      </c>
      <c r="B25" s="3">
        <f t="shared" si="0"/>
        <v>0</v>
      </c>
    </row>
    <row r="26" spans="1:14" x14ac:dyDescent="0.3">
      <c r="A26" s="1" t="s">
        <v>30</v>
      </c>
      <c r="J26" s="11"/>
      <c r="K26" s="10"/>
    </row>
    <row r="28" spans="1:14" x14ac:dyDescent="0.3">
      <c r="A28" s="1"/>
    </row>
    <row r="29" spans="1:14" x14ac:dyDescent="0.3">
      <c r="A29" s="1" t="s">
        <v>140</v>
      </c>
    </row>
    <row r="31" spans="1:14" x14ac:dyDescent="0.3">
      <c r="A31" t="s">
        <v>138</v>
      </c>
    </row>
    <row r="32" spans="1:14" x14ac:dyDescent="0.3">
      <c r="F32" s="12" t="s">
        <v>93</v>
      </c>
      <c r="G32" s="12" t="s">
        <v>93</v>
      </c>
    </row>
    <row r="33" spans="1:19" x14ac:dyDescent="0.3">
      <c r="A33" s="1" t="s">
        <v>0</v>
      </c>
      <c r="B33" s="2" t="s">
        <v>19</v>
      </c>
      <c r="C33" s="2" t="s">
        <v>11</v>
      </c>
      <c r="D33" s="2" t="s">
        <v>7</v>
      </c>
      <c r="E33" s="2" t="s">
        <v>17</v>
      </c>
      <c r="F33" s="2" t="s">
        <v>149</v>
      </c>
      <c r="G33" s="2" t="s">
        <v>150</v>
      </c>
      <c r="H33" s="2" t="s">
        <v>32</v>
      </c>
      <c r="I33" s="2" t="s">
        <v>31</v>
      </c>
      <c r="J33" s="2" t="s">
        <v>33</v>
      </c>
      <c r="K33" s="2" t="s">
        <v>151</v>
      </c>
      <c r="L33" s="2" t="s">
        <v>152</v>
      </c>
      <c r="M33" s="2"/>
      <c r="N33" s="2"/>
      <c r="O33" s="2"/>
      <c r="P33" s="2"/>
    </row>
    <row r="34" spans="1:19" x14ac:dyDescent="0.3">
      <c r="A34" t="s">
        <v>3</v>
      </c>
      <c r="B34" s="3">
        <f t="shared" ref="B34:B39" si="3">C6</f>
        <v>30</v>
      </c>
      <c r="C34" s="8">
        <f t="shared" ref="C34:C39" si="4">C6/100*E6</f>
        <v>27.9</v>
      </c>
      <c r="D34" s="8">
        <f t="shared" ref="D34:D39" si="5">C6/100*G6</f>
        <v>294.89999999999998</v>
      </c>
      <c r="E34" s="8">
        <f t="shared" ref="E34:E39" si="6">C6/100*J20</f>
        <v>7.7690393800031368</v>
      </c>
      <c r="F34" s="4">
        <f>E34*N6/100</f>
        <v>0.21753310264008782</v>
      </c>
      <c r="G34" s="4">
        <f>E34*O6/100</f>
        <v>0.15538078760006274</v>
      </c>
      <c r="H34" s="8">
        <f>C34/C$40*100</f>
        <v>15.387160820648576</v>
      </c>
      <c r="I34" s="8">
        <f>D34/D$40*100</f>
        <v>31.644007597137126</v>
      </c>
      <c r="J34" s="8">
        <f>E34/E$40*100</f>
        <v>19.648355180859266</v>
      </c>
      <c r="K34" s="8">
        <f t="shared" ref="K34:L34" si="7">F34/F$40*100</f>
        <v>16.230471160937874</v>
      </c>
      <c r="L34" s="8">
        <f t="shared" si="7"/>
        <v>22.161890672724621</v>
      </c>
      <c r="M34" s="3"/>
      <c r="N34" s="3"/>
      <c r="O34" s="3"/>
      <c r="P34" s="3"/>
    </row>
    <row r="35" spans="1:19" x14ac:dyDescent="0.3">
      <c r="A35" t="s">
        <v>4</v>
      </c>
      <c r="B35" s="3">
        <f t="shared" si="3"/>
        <v>25</v>
      </c>
      <c r="C35" s="8">
        <f t="shared" si="4"/>
        <v>30.75</v>
      </c>
      <c r="D35" s="8">
        <f t="shared" si="5"/>
        <v>242.5</v>
      </c>
      <c r="E35" s="8">
        <f t="shared" si="6"/>
        <v>4.0590000000000011</v>
      </c>
      <c r="F35" s="4">
        <f t="shared" ref="F35:F39" si="8">E35*N7/100</f>
        <v>0.14612400000000003</v>
      </c>
      <c r="G35" s="4">
        <f t="shared" ref="G35:G39" si="9">E35*O7/100</f>
        <v>6.0885000000000015E-2</v>
      </c>
      <c r="H35" s="8">
        <f t="shared" ref="H35:I39" si="10">C35/C$40*100</f>
        <v>16.958967571144935</v>
      </c>
      <c r="I35" s="8">
        <f t="shared" si="10"/>
        <v>26.021267691779425</v>
      </c>
      <c r="J35" s="8">
        <f t="shared" ref="J35:J39" si="11">E35/E$40*100</f>
        <v>10.265448503760265</v>
      </c>
      <c r="K35" s="8">
        <f t="shared" ref="K35:K39" si="12">F35/F$40*100</f>
        <v>10.90253087524265</v>
      </c>
      <c r="L35" s="8">
        <f t="shared" ref="L35:L39" si="13">G35/G$40*100</f>
        <v>8.6839997045316437</v>
      </c>
      <c r="M35" s="3"/>
      <c r="N35" s="3"/>
      <c r="O35" s="3"/>
      <c r="P35" s="3"/>
      <c r="R35" s="1"/>
      <c r="S35" s="5"/>
    </row>
    <row r="36" spans="1:19" x14ac:dyDescent="0.3">
      <c r="A36" t="s">
        <v>23</v>
      </c>
      <c r="B36" s="3">
        <f t="shared" si="3"/>
        <v>12</v>
      </c>
      <c r="C36" s="8">
        <f t="shared" si="4"/>
        <v>11.52</v>
      </c>
      <c r="D36" s="8">
        <f t="shared" si="5"/>
        <v>111</v>
      </c>
      <c r="E36" s="8">
        <f t="shared" si="6"/>
        <v>2.6019310344827584</v>
      </c>
      <c r="F36" s="4">
        <f t="shared" si="8"/>
        <v>0.14310620689655171</v>
      </c>
      <c r="G36" s="4">
        <f t="shared" si="9"/>
        <v>4.1630896551724132E-2</v>
      </c>
      <c r="H36" s="8">
        <f t="shared" si="10"/>
        <v>6.3534083388484444</v>
      </c>
      <c r="I36" s="8">
        <f t="shared" si="10"/>
        <v>11.910765830051615</v>
      </c>
      <c r="J36" s="8">
        <f t="shared" si="11"/>
        <v>6.5804358326726833</v>
      </c>
      <c r="K36" s="8">
        <f t="shared" si="12"/>
        <v>10.677368804087743</v>
      </c>
      <c r="L36" s="8">
        <f t="shared" si="13"/>
        <v>5.9377957354776987</v>
      </c>
      <c r="M36" s="3"/>
      <c r="N36" s="3"/>
      <c r="O36" s="3"/>
      <c r="P36" s="3"/>
    </row>
    <row r="37" spans="1:19" x14ac:dyDescent="0.3">
      <c r="A37" t="s">
        <v>5</v>
      </c>
      <c r="B37" s="3">
        <f t="shared" si="3"/>
        <v>15</v>
      </c>
      <c r="C37" s="8">
        <f t="shared" si="4"/>
        <v>57.75</v>
      </c>
      <c r="D37" s="8">
        <f t="shared" si="5"/>
        <v>138.15</v>
      </c>
      <c r="E37" s="8">
        <f t="shared" si="6"/>
        <v>13.312761009997333</v>
      </c>
      <c r="F37" s="4">
        <f t="shared" si="8"/>
        <v>0.58576148443988263</v>
      </c>
      <c r="G37" s="4">
        <f t="shared" si="9"/>
        <v>0.26625522019994663</v>
      </c>
      <c r="H37" s="8">
        <f t="shared" si="10"/>
        <v>31.84976836532098</v>
      </c>
      <c r="I37" s="8">
        <f t="shared" si="10"/>
        <v>14.824074769564238</v>
      </c>
      <c r="J37" s="8">
        <f t="shared" si="11"/>
        <v>33.668751562206225</v>
      </c>
      <c r="K37" s="8">
        <f t="shared" si="12"/>
        <v>43.704543193683357</v>
      </c>
      <c r="L37" s="8">
        <f t="shared" si="13"/>
        <v>37.975860286545846</v>
      </c>
      <c r="M37" s="3"/>
      <c r="N37" s="3"/>
      <c r="O37" s="3"/>
      <c r="P37" s="3"/>
    </row>
    <row r="38" spans="1:19" x14ac:dyDescent="0.3">
      <c r="A38" t="s">
        <v>20</v>
      </c>
      <c r="B38" s="3">
        <f t="shared" si="3"/>
        <v>15</v>
      </c>
      <c r="C38" s="8">
        <f t="shared" si="4"/>
        <v>53.4</v>
      </c>
      <c r="D38" s="8">
        <f t="shared" si="5"/>
        <v>142.5</v>
      </c>
      <c r="E38" s="8">
        <f t="shared" si="6"/>
        <v>11.797674418604654</v>
      </c>
      <c r="F38" s="4">
        <f t="shared" si="8"/>
        <v>0.24775116279069775</v>
      </c>
      <c r="G38" s="4">
        <f t="shared" si="9"/>
        <v>0.1769651162790698</v>
      </c>
      <c r="H38" s="8">
        <f t="shared" si="10"/>
        <v>29.450694904037061</v>
      </c>
      <c r="I38" s="8">
        <f t="shared" si="10"/>
        <v>15.290848025066261</v>
      </c>
      <c r="J38" s="8">
        <f t="shared" si="11"/>
        <v>29.837008920501567</v>
      </c>
      <c r="K38" s="8">
        <f t="shared" si="12"/>
        <v>18.485085966048356</v>
      </c>
      <c r="L38" s="8">
        <f t="shared" si="13"/>
        <v>25.240453600720201</v>
      </c>
      <c r="M38" s="3"/>
      <c r="N38" s="3"/>
      <c r="O38" s="3"/>
      <c r="P38" s="3"/>
    </row>
    <row r="39" spans="1:19" x14ac:dyDescent="0.3">
      <c r="A39" t="s">
        <v>6</v>
      </c>
      <c r="B39" s="3">
        <f t="shared" si="3"/>
        <v>3</v>
      </c>
      <c r="C39" s="8">
        <f t="shared" si="4"/>
        <v>0</v>
      </c>
      <c r="D39" s="8">
        <f t="shared" si="5"/>
        <v>2.88</v>
      </c>
      <c r="E39" s="8">
        <f t="shared" si="6"/>
        <v>0</v>
      </c>
      <c r="F39" s="4">
        <f t="shared" si="8"/>
        <v>0</v>
      </c>
      <c r="G39" s="4">
        <f t="shared" si="9"/>
        <v>0</v>
      </c>
      <c r="H39" s="8">
        <f t="shared" si="10"/>
        <v>0</v>
      </c>
      <c r="I39" s="8">
        <f t="shared" si="10"/>
        <v>0.30903608640133917</v>
      </c>
      <c r="J39" s="8">
        <f t="shared" si="11"/>
        <v>0</v>
      </c>
      <c r="K39" s="8">
        <f t="shared" si="12"/>
        <v>0</v>
      </c>
      <c r="L39" s="8">
        <f t="shared" si="13"/>
        <v>0</v>
      </c>
      <c r="M39" s="3"/>
    </row>
    <row r="40" spans="1:19" s="1" customFormat="1" x14ac:dyDescent="0.3">
      <c r="A40" s="1" t="s">
        <v>30</v>
      </c>
      <c r="B40" s="2">
        <f>SUM(B34:B39)</f>
        <v>100</v>
      </c>
      <c r="C40" s="11">
        <f>SUM(C34:C39)</f>
        <v>181.32</v>
      </c>
      <c r="D40" s="11">
        <f t="shared" ref="D40:J40" si="14">SUM(D34:D39)</f>
        <v>931.93</v>
      </c>
      <c r="E40" s="11">
        <f t="shared" si="14"/>
        <v>39.540405843087882</v>
      </c>
      <c r="F40" s="6">
        <f t="shared" si="14"/>
        <v>1.3402759567672202</v>
      </c>
      <c r="G40" s="6">
        <f t="shared" si="14"/>
        <v>0.70111702063080328</v>
      </c>
      <c r="H40" s="11">
        <f t="shared" si="14"/>
        <v>100</v>
      </c>
      <c r="I40" s="11">
        <f t="shared" si="14"/>
        <v>100</v>
      </c>
      <c r="J40" s="11">
        <f t="shared" si="14"/>
        <v>100</v>
      </c>
      <c r="K40" s="11">
        <f>SUM(K34:K39)</f>
        <v>99.999999999999986</v>
      </c>
      <c r="L40" s="11">
        <f>SUM(L34:L39)</f>
        <v>100</v>
      </c>
      <c r="M40" s="2"/>
    </row>
    <row r="41" spans="1:19" x14ac:dyDescent="0.3">
      <c r="F41" s="28"/>
    </row>
    <row r="43" spans="1:19" x14ac:dyDescent="0.3">
      <c r="A43" t="s">
        <v>34</v>
      </c>
    </row>
    <row r="45" spans="1:19" x14ac:dyDescent="0.3">
      <c r="C45" s="12" t="s">
        <v>103</v>
      </c>
      <c r="D45" s="12" t="s">
        <v>103</v>
      </c>
      <c r="E45" s="12" t="s">
        <v>103</v>
      </c>
      <c r="F45" s="12" t="s">
        <v>103</v>
      </c>
      <c r="G45" s="12" t="s">
        <v>103</v>
      </c>
      <c r="H45" s="12" t="s">
        <v>103</v>
      </c>
      <c r="I45" s="12" t="s">
        <v>103</v>
      </c>
      <c r="J45" s="12" t="s">
        <v>103</v>
      </c>
      <c r="K45" s="12" t="s">
        <v>103</v>
      </c>
      <c r="L45" s="12" t="s">
        <v>103</v>
      </c>
      <c r="M45" s="12" t="s">
        <v>103</v>
      </c>
      <c r="N45" s="12" t="s">
        <v>103</v>
      </c>
      <c r="O45" s="12" t="s">
        <v>103</v>
      </c>
      <c r="P45" s="12" t="s">
        <v>103</v>
      </c>
    </row>
    <row r="46" spans="1:19" x14ac:dyDescent="0.3">
      <c r="C46" s="12" t="s">
        <v>47</v>
      </c>
      <c r="D46" s="12" t="s">
        <v>47</v>
      </c>
      <c r="E46" s="12" t="s">
        <v>47</v>
      </c>
      <c r="F46" s="12" t="s">
        <v>39</v>
      </c>
      <c r="G46" s="12" t="s">
        <v>40</v>
      </c>
      <c r="H46" s="12" t="s">
        <v>40</v>
      </c>
      <c r="I46" s="12" t="s">
        <v>40</v>
      </c>
      <c r="J46" s="12" t="s">
        <v>40</v>
      </c>
      <c r="K46" s="12" t="s">
        <v>47</v>
      </c>
      <c r="L46" s="12" t="s">
        <v>41</v>
      </c>
      <c r="M46" s="12" t="s">
        <v>40</v>
      </c>
      <c r="N46" s="12" t="s">
        <v>40</v>
      </c>
      <c r="O46" s="12" t="s">
        <v>153</v>
      </c>
      <c r="P46" s="12" t="s">
        <v>154</v>
      </c>
    </row>
    <row r="47" spans="1:19" x14ac:dyDescent="0.3">
      <c r="A47" s="1" t="s">
        <v>0</v>
      </c>
      <c r="B47" s="2" t="s">
        <v>19</v>
      </c>
      <c r="C47" s="2" t="s">
        <v>11</v>
      </c>
      <c r="D47" s="2" t="s">
        <v>9</v>
      </c>
      <c r="E47" s="2" t="s">
        <v>7</v>
      </c>
      <c r="F47" s="2" t="s">
        <v>126</v>
      </c>
      <c r="G47" s="2" t="s">
        <v>12</v>
      </c>
      <c r="H47" s="2" t="s">
        <v>13</v>
      </c>
      <c r="I47" s="2" t="s">
        <v>14</v>
      </c>
      <c r="J47" s="2" t="s">
        <v>15</v>
      </c>
      <c r="K47" s="2" t="s">
        <v>17</v>
      </c>
      <c r="L47" s="2" t="s">
        <v>155</v>
      </c>
      <c r="M47" s="2" t="s">
        <v>21</v>
      </c>
      <c r="N47" s="2" t="s">
        <v>22</v>
      </c>
      <c r="O47" s="2" t="s">
        <v>156</v>
      </c>
      <c r="P47" s="2" t="s">
        <v>157</v>
      </c>
    </row>
    <row r="48" spans="1:19" x14ac:dyDescent="0.3">
      <c r="A48" t="s">
        <v>3</v>
      </c>
      <c r="B48" s="3">
        <f t="shared" ref="B48:B53" si="15">C6</f>
        <v>30</v>
      </c>
      <c r="C48" s="3">
        <f t="shared" ref="C48:E53" si="16">E6</f>
        <v>93</v>
      </c>
      <c r="D48" s="3">
        <f t="shared" si="16"/>
        <v>17</v>
      </c>
      <c r="E48" s="3">
        <f t="shared" si="16"/>
        <v>983</v>
      </c>
      <c r="F48" s="3">
        <f t="shared" ref="F48:J53" si="17">H6</f>
        <v>85</v>
      </c>
      <c r="G48" s="3">
        <f t="shared" si="17"/>
        <v>21</v>
      </c>
      <c r="H48" s="3">
        <f t="shared" si="17"/>
        <v>77</v>
      </c>
      <c r="I48" s="3">
        <f t="shared" si="17"/>
        <v>7</v>
      </c>
      <c r="J48" s="3">
        <f t="shared" si="17"/>
        <v>0.1</v>
      </c>
      <c r="K48" s="8">
        <f t="shared" ref="K48:K53" si="18">J20</f>
        <v>25.896797933343791</v>
      </c>
      <c r="L48" s="3">
        <f t="shared" ref="L48:P53" si="19">M6</f>
        <v>96</v>
      </c>
      <c r="M48" s="3">
        <f t="shared" si="19"/>
        <v>2.8</v>
      </c>
      <c r="N48" s="3">
        <f t="shared" si="19"/>
        <v>2</v>
      </c>
      <c r="O48" s="3">
        <f t="shared" si="19"/>
        <v>88</v>
      </c>
      <c r="P48" s="3">
        <f t="shared" si="19"/>
        <v>83</v>
      </c>
    </row>
    <row r="49" spans="1:16" x14ac:dyDescent="0.3">
      <c r="A49" t="s">
        <v>4</v>
      </c>
      <c r="B49" s="3">
        <f t="shared" si="15"/>
        <v>25</v>
      </c>
      <c r="C49" s="3">
        <f t="shared" si="16"/>
        <v>123</v>
      </c>
      <c r="D49" s="3">
        <f t="shared" si="16"/>
        <v>30</v>
      </c>
      <c r="E49" s="3">
        <f t="shared" si="16"/>
        <v>970</v>
      </c>
      <c r="F49" s="3">
        <f t="shared" si="17"/>
        <v>87</v>
      </c>
      <c r="G49" s="3">
        <f t="shared" si="17"/>
        <v>26</v>
      </c>
      <c r="H49" s="3">
        <f t="shared" si="17"/>
        <v>72</v>
      </c>
      <c r="I49" s="3">
        <f t="shared" si="17"/>
        <v>19</v>
      </c>
      <c r="J49" s="3">
        <f t="shared" si="17"/>
        <v>0</v>
      </c>
      <c r="K49" s="8">
        <f t="shared" si="18"/>
        <v>16.236000000000004</v>
      </c>
      <c r="L49" s="3">
        <f t="shared" si="19"/>
        <v>90</v>
      </c>
      <c r="M49" s="3">
        <f t="shared" si="19"/>
        <v>3.6</v>
      </c>
      <c r="N49" s="3">
        <f t="shared" si="19"/>
        <v>1.5</v>
      </c>
      <c r="O49" s="3">
        <f t="shared" si="19"/>
        <v>77</v>
      </c>
      <c r="P49" s="3">
        <f t="shared" si="19"/>
        <v>86</v>
      </c>
    </row>
    <row r="50" spans="1:16" x14ac:dyDescent="0.3">
      <c r="A50" t="s">
        <v>23</v>
      </c>
      <c r="B50" s="3">
        <f t="shared" si="15"/>
        <v>12</v>
      </c>
      <c r="C50" s="3">
        <f t="shared" si="16"/>
        <v>96</v>
      </c>
      <c r="D50" s="3">
        <f t="shared" si="16"/>
        <v>75</v>
      </c>
      <c r="E50" s="3">
        <f t="shared" si="16"/>
        <v>925</v>
      </c>
      <c r="F50" s="3">
        <f t="shared" si="17"/>
        <v>90</v>
      </c>
      <c r="G50" s="3">
        <f t="shared" si="17"/>
        <v>19</v>
      </c>
      <c r="H50" s="3">
        <f t="shared" si="17"/>
        <v>77</v>
      </c>
      <c r="I50" s="3">
        <f t="shared" si="17"/>
        <v>11</v>
      </c>
      <c r="J50" s="3">
        <f t="shared" si="17"/>
        <v>0</v>
      </c>
      <c r="K50" s="8">
        <f t="shared" si="18"/>
        <v>21.682758620689654</v>
      </c>
      <c r="L50" s="3">
        <f t="shared" si="19"/>
        <v>73</v>
      </c>
      <c r="M50" s="3">
        <f t="shared" si="19"/>
        <v>5.5</v>
      </c>
      <c r="N50" s="3">
        <f t="shared" si="19"/>
        <v>1.6</v>
      </c>
      <c r="O50" s="3">
        <f t="shared" si="19"/>
        <v>84</v>
      </c>
      <c r="P50" s="3">
        <f t="shared" si="19"/>
        <v>80</v>
      </c>
    </row>
    <row r="51" spans="1:16" x14ac:dyDescent="0.3">
      <c r="A51" t="s">
        <v>5</v>
      </c>
      <c r="B51" s="3">
        <f t="shared" si="15"/>
        <v>15</v>
      </c>
      <c r="C51" s="3">
        <f t="shared" si="16"/>
        <v>385</v>
      </c>
      <c r="D51" s="3">
        <f t="shared" si="16"/>
        <v>79</v>
      </c>
      <c r="E51" s="3">
        <f t="shared" si="16"/>
        <v>921</v>
      </c>
      <c r="F51" s="3">
        <f t="shared" si="17"/>
        <v>79</v>
      </c>
      <c r="G51" s="3">
        <f t="shared" si="17"/>
        <v>16</v>
      </c>
      <c r="H51" s="3">
        <f t="shared" si="17"/>
        <v>79</v>
      </c>
      <c r="I51" s="3">
        <f t="shared" si="17"/>
        <v>12</v>
      </c>
      <c r="J51" s="3">
        <f t="shared" si="17"/>
        <v>0.1</v>
      </c>
      <c r="K51" s="8">
        <f t="shared" si="18"/>
        <v>88.751740066648892</v>
      </c>
      <c r="L51" s="3">
        <f t="shared" si="19"/>
        <v>81</v>
      </c>
      <c r="M51" s="3">
        <f t="shared" si="19"/>
        <v>4.4000000000000004</v>
      </c>
      <c r="N51" s="3">
        <f t="shared" si="19"/>
        <v>2</v>
      </c>
      <c r="O51" s="3">
        <f t="shared" si="19"/>
        <v>79</v>
      </c>
      <c r="P51" s="3">
        <f t="shared" si="19"/>
        <v>84</v>
      </c>
    </row>
    <row r="52" spans="1:16" x14ac:dyDescent="0.3">
      <c r="A52" t="s">
        <v>20</v>
      </c>
      <c r="B52" s="3">
        <f t="shared" si="15"/>
        <v>15</v>
      </c>
      <c r="C52" s="3">
        <f t="shared" si="16"/>
        <v>356</v>
      </c>
      <c r="D52" s="3">
        <f t="shared" si="16"/>
        <v>50</v>
      </c>
      <c r="E52" s="3">
        <f t="shared" si="16"/>
        <v>950</v>
      </c>
      <c r="F52" s="3">
        <f t="shared" si="17"/>
        <v>78</v>
      </c>
      <c r="G52" s="3">
        <f t="shared" si="17"/>
        <v>26</v>
      </c>
      <c r="H52" s="3">
        <f t="shared" si="17"/>
        <v>62</v>
      </c>
      <c r="I52" s="3">
        <f t="shared" si="17"/>
        <v>18</v>
      </c>
      <c r="J52" s="3">
        <f t="shared" si="17"/>
        <v>0</v>
      </c>
      <c r="K52" s="8">
        <f t="shared" si="18"/>
        <v>78.651162790697697</v>
      </c>
      <c r="L52" s="3">
        <f t="shared" si="19"/>
        <v>92</v>
      </c>
      <c r="M52" s="3">
        <f t="shared" si="19"/>
        <v>2.1</v>
      </c>
      <c r="N52" s="3">
        <f t="shared" si="19"/>
        <v>1.5</v>
      </c>
      <c r="O52" s="3">
        <f t="shared" si="19"/>
        <v>86</v>
      </c>
      <c r="P52" s="3">
        <f t="shared" si="19"/>
        <v>91</v>
      </c>
    </row>
    <row r="53" spans="1:16" x14ac:dyDescent="0.3">
      <c r="A53" t="s">
        <v>6</v>
      </c>
      <c r="B53" s="3">
        <f t="shared" si="15"/>
        <v>3</v>
      </c>
      <c r="C53" s="3">
        <f t="shared" si="16"/>
        <v>0</v>
      </c>
      <c r="D53" s="3">
        <f t="shared" si="16"/>
        <v>904</v>
      </c>
      <c r="E53" s="3">
        <f t="shared" si="16"/>
        <v>96</v>
      </c>
      <c r="F53" s="3">
        <f t="shared" si="17"/>
        <v>70</v>
      </c>
      <c r="G53" s="3">
        <f t="shared" si="17"/>
        <v>0</v>
      </c>
      <c r="H53" s="3">
        <f t="shared" si="17"/>
        <v>0</v>
      </c>
      <c r="I53" s="3">
        <f t="shared" si="17"/>
        <v>0</v>
      </c>
      <c r="J53" s="3">
        <f t="shared" si="17"/>
        <v>0</v>
      </c>
      <c r="K53" s="8">
        <f t="shared" si="18"/>
        <v>0</v>
      </c>
      <c r="L53" s="3">
        <f t="shared" si="19"/>
        <v>0</v>
      </c>
      <c r="M53" s="3">
        <f t="shared" si="19"/>
        <v>0</v>
      </c>
      <c r="N53" s="3">
        <f t="shared" si="19"/>
        <v>0</v>
      </c>
      <c r="O53" s="3">
        <f t="shared" si="19"/>
        <v>0</v>
      </c>
      <c r="P53" s="3">
        <f t="shared" si="19"/>
        <v>0</v>
      </c>
    </row>
    <row r="54" spans="1:16" x14ac:dyDescent="0.3">
      <c r="A54" s="1" t="s">
        <v>30</v>
      </c>
      <c r="B54" s="2">
        <f>SUM(B48:B53)</f>
        <v>100</v>
      </c>
      <c r="C54" s="11">
        <f>$C$6/100*E6+$C$7/100*E7+$C$8/100*E8+$C$9/100*E9+$C$10/100*E10+$C$11/100*E11</f>
        <v>181.32</v>
      </c>
      <c r="D54" s="11">
        <f>$C$6/100*F6+$C$7/100*F7+$C$8/100*F8+$C$9/100*F9+$C$10/100*F10+$C$11/100*F11</f>
        <v>68.069999999999993</v>
      </c>
      <c r="E54" s="11">
        <f>$C$6/100*G6+$C$7/100*G7+$C$8/100*G8+$C$9/100*G9+$C$10/100*G10+$C$11/100*G11</f>
        <v>931.93</v>
      </c>
      <c r="F54" s="10">
        <f>H6*I34/100+H7*I35/100+H8*I36/100+H9*I37/100+H10*I38/100+H11*I39/100</f>
        <v>84.109804384449475</v>
      </c>
      <c r="G54" s="10">
        <f>I6*$H$34/100+I7*$H$35/100+I8*$H$36/100+I9*$H$37/100+I10*$H$38/100+I11*$H$39/100</f>
        <v>21.600926538716077</v>
      </c>
      <c r="H54" s="10">
        <f>J6*$H$34/100+J7*$H$35/100+J8*$H$36/100+J9*$H$37/100+J10*$H$38/100+J11*$H$39/100</f>
        <v>72.371442753143612</v>
      </c>
      <c r="I54" s="10">
        <f>K6*$H$34/100+K7*$H$35/100+K8*$H$36/100+K9*$H$37/100+K10*$H$38/100+K11*$H$39/100</f>
        <v>14.121277299801456</v>
      </c>
      <c r="J54" s="6">
        <f>L6*$H$34/100+L7*$H$35/100+L8*$H$36/100+L9*$H$37/100+L10*$H$38/100+L11*$H$39/100</f>
        <v>4.7236929185969556E-2</v>
      </c>
      <c r="K54" s="10">
        <f>$C$6/100*J20+$C$7/100*J21+$C$8/100*J22+$C$9/100*J23+$C$10/100*J24+$C$11/100*J25</f>
        <v>39.540405843087882</v>
      </c>
      <c r="L54" s="10">
        <f>M6*$J$34/100+M7*$J$35/100+M8*$J$36/100+M9*$J$37/100+M10*$J$38/100+M11*$J$39/100</f>
        <v>87.626779757108665</v>
      </c>
      <c r="M54" s="10">
        <f>N6*$H$34/100+N7*$H$35/100+N8*$H$36/100+N9*$H$37/100+N10*$H$38/100+N11*$H$39/100</f>
        <v>3.4106551952349431</v>
      </c>
      <c r="N54" s="10">
        <f>O6*$H$34/100+O7*$H$35/100+O8*$H$36/100+O9*$H$37/100+O10*$H$38/100+O11*$H$39/100</f>
        <v>1.7425380542686961</v>
      </c>
      <c r="O54" s="10">
        <f>P6*$K$34/100+P7*$K$35/100+P8*$K$36/100+P9*$K$37/100+P10*$K$38/100+P11*$K$39/100</f>
        <v>82.070516244807322</v>
      </c>
      <c r="P54" s="10">
        <f>Q6*$L$34/100+Q7*$L$35/100+Q8*$L$36/100+Q9*$L$37/100+Q10*$L$38/100+Q11*$L$39/100</f>
        <v>85.481381009994706</v>
      </c>
    </row>
    <row r="57" spans="1:16" x14ac:dyDescent="0.3">
      <c r="A57" s="1" t="s">
        <v>170</v>
      </c>
    </row>
    <row r="59" spans="1:16" x14ac:dyDescent="0.3">
      <c r="A59" t="s">
        <v>158</v>
      </c>
    </row>
    <row r="60" spans="1:16" x14ac:dyDescent="0.3">
      <c r="D60" s="12" t="s">
        <v>90</v>
      </c>
      <c r="E60" s="12" t="s">
        <v>91</v>
      </c>
      <c r="F60" s="12"/>
      <c r="G60" s="12"/>
      <c r="L60" s="12" t="s">
        <v>92</v>
      </c>
      <c r="M60" s="12" t="s">
        <v>100</v>
      </c>
      <c r="N60" s="12" t="s">
        <v>100</v>
      </c>
      <c r="O60" s="12" t="s">
        <v>98</v>
      </c>
      <c r="P60" s="12" t="s">
        <v>98</v>
      </c>
    </row>
    <row r="61" spans="1:16" x14ac:dyDescent="0.3">
      <c r="B61" s="2" t="s">
        <v>7</v>
      </c>
      <c r="C61" s="2" t="s">
        <v>35</v>
      </c>
      <c r="D61" s="2" t="s">
        <v>10</v>
      </c>
      <c r="E61" s="2" t="s">
        <v>8</v>
      </c>
      <c r="F61" s="2" t="s">
        <v>161</v>
      </c>
      <c r="G61" s="2" t="s">
        <v>162</v>
      </c>
      <c r="H61" s="2" t="s">
        <v>160</v>
      </c>
      <c r="I61" s="35" t="s">
        <v>189</v>
      </c>
      <c r="J61" s="2" t="s">
        <v>185</v>
      </c>
      <c r="K61" s="2" t="s">
        <v>186</v>
      </c>
      <c r="L61" s="35" t="s">
        <v>187</v>
      </c>
      <c r="M61" s="2" t="s">
        <v>163</v>
      </c>
      <c r="N61" s="2" t="s">
        <v>164</v>
      </c>
      <c r="O61" s="2" t="s">
        <v>165</v>
      </c>
      <c r="P61" s="2" t="s">
        <v>166</v>
      </c>
    </row>
    <row r="62" spans="1:16" x14ac:dyDescent="0.3">
      <c r="A62" s="1" t="s">
        <v>30</v>
      </c>
      <c r="B62" s="11">
        <f>E54</f>
        <v>931.93</v>
      </c>
      <c r="C62" s="10">
        <f>F54</f>
        <v>84.109804384449475</v>
      </c>
      <c r="D62" s="11">
        <f>B62*C62/100</f>
        <v>783.84449999999993</v>
      </c>
      <c r="E62" s="11">
        <f>150*D62/1000</f>
        <v>117.57667499999999</v>
      </c>
      <c r="F62" s="10">
        <v>8.6999999999999993</v>
      </c>
      <c r="G62" s="10">
        <v>2.6</v>
      </c>
      <c r="H62" s="2">
        <v>78</v>
      </c>
      <c r="I62" s="2">
        <v>85</v>
      </c>
      <c r="J62" s="2">
        <v>86</v>
      </c>
      <c r="K62" s="2">
        <v>89</v>
      </c>
      <c r="L62" s="10">
        <f>E62*H62/100*I62/100</f>
        <v>77.953335525</v>
      </c>
      <c r="M62" s="6">
        <f>(E62*H62/100)*F62/100</f>
        <v>7.9787531654999997</v>
      </c>
      <c r="N62" s="6">
        <f>(E62*H62/100)*G62/100</f>
        <v>2.3844549690000001</v>
      </c>
      <c r="O62" s="6">
        <f>M62*J62/100</f>
        <v>6.8617277223299995</v>
      </c>
      <c r="P62" s="6">
        <f>N62*K62/100</f>
        <v>2.1221649224100001</v>
      </c>
    </row>
    <row r="65" spans="1:14" x14ac:dyDescent="0.3">
      <c r="A65" s="1" t="s">
        <v>171</v>
      </c>
    </row>
    <row r="67" spans="1:14" x14ac:dyDescent="0.3">
      <c r="A67" t="s">
        <v>159</v>
      </c>
    </row>
    <row r="68" spans="1:14" x14ac:dyDescent="0.3">
      <c r="C68" s="12" t="s">
        <v>96</v>
      </c>
      <c r="J68" s="12" t="s">
        <v>102</v>
      </c>
      <c r="K68" s="12" t="s">
        <v>93</v>
      </c>
      <c r="L68" s="12" t="s">
        <v>93</v>
      </c>
      <c r="M68" s="12" t="s">
        <v>94</v>
      </c>
      <c r="N68" s="12" t="s">
        <v>94</v>
      </c>
    </row>
    <row r="69" spans="1:14" x14ac:dyDescent="0.3">
      <c r="B69" s="2" t="s">
        <v>17</v>
      </c>
      <c r="C69" s="2" t="s">
        <v>125</v>
      </c>
      <c r="D69" s="2" t="s">
        <v>155</v>
      </c>
      <c r="E69" s="2" t="s">
        <v>156</v>
      </c>
      <c r="F69" s="2" t="s">
        <v>157</v>
      </c>
      <c r="G69" s="2"/>
      <c r="H69" s="2"/>
      <c r="I69" s="2"/>
      <c r="J69" s="35" t="s">
        <v>188</v>
      </c>
      <c r="K69" s="2" t="s">
        <v>149</v>
      </c>
      <c r="L69" s="2" t="s">
        <v>150</v>
      </c>
      <c r="M69" s="2" t="s">
        <v>167</v>
      </c>
      <c r="N69" s="2" t="s">
        <v>168</v>
      </c>
    </row>
    <row r="70" spans="1:14" x14ac:dyDescent="0.3">
      <c r="A70" s="1" t="s">
        <v>30</v>
      </c>
      <c r="B70" s="10">
        <f>K54</f>
        <v>39.540405843087882</v>
      </c>
      <c r="C70" s="10">
        <f>B70/C54*100</f>
        <v>21.806974323344299</v>
      </c>
      <c r="D70" s="10">
        <f>L54</f>
        <v>87.626779757108665</v>
      </c>
      <c r="E70" s="10">
        <f>O54</f>
        <v>82.070516244807322</v>
      </c>
      <c r="F70" s="10">
        <f>P54</f>
        <v>85.481381009994706</v>
      </c>
      <c r="G70" s="2"/>
      <c r="H70" s="2"/>
      <c r="I70" s="2"/>
      <c r="J70" s="10">
        <f>B70*D70/100</f>
        <v>34.647984343189549</v>
      </c>
      <c r="K70" s="6">
        <f>B70*M54/100</f>
        <v>1.3485869061042579</v>
      </c>
      <c r="L70" s="6">
        <f>B70*N54/100</f>
        <v>0.68900661862808943</v>
      </c>
      <c r="M70" s="6">
        <f>K70*E70/100</f>
        <v>1.1067922358496396</v>
      </c>
      <c r="N70" s="6">
        <f>L70*F70/100</f>
        <v>0.5889723728535583</v>
      </c>
    </row>
    <row r="73" spans="1:14" x14ac:dyDescent="0.3">
      <c r="A73" s="1" t="s">
        <v>172</v>
      </c>
    </row>
    <row r="75" spans="1:14" x14ac:dyDescent="0.3">
      <c r="A75" t="s">
        <v>169</v>
      </c>
    </row>
    <row r="76" spans="1:14" x14ac:dyDescent="0.3">
      <c r="J76" s="12" t="s">
        <v>97</v>
      </c>
      <c r="M76" s="12" t="s">
        <v>99</v>
      </c>
      <c r="N76" s="12" t="s">
        <v>99</v>
      </c>
    </row>
    <row r="77" spans="1:14" x14ac:dyDescent="0.3">
      <c r="B77" s="2"/>
      <c r="C77" s="2"/>
      <c r="D77" s="2"/>
      <c r="E77" s="2"/>
      <c r="F77" s="2"/>
      <c r="G77" s="2"/>
      <c r="H77" s="2"/>
      <c r="I77" s="2"/>
      <c r="J77" s="2" t="s">
        <v>36</v>
      </c>
      <c r="K77" s="2"/>
      <c r="L77" s="2"/>
      <c r="M77" s="2" t="s">
        <v>37</v>
      </c>
      <c r="N77" s="2" t="s">
        <v>38</v>
      </c>
    </row>
    <row r="78" spans="1:14" x14ac:dyDescent="0.3">
      <c r="A78" s="1" t="s">
        <v>30</v>
      </c>
      <c r="B78" s="11"/>
      <c r="C78" s="10"/>
      <c r="D78" s="10"/>
      <c r="E78" s="10"/>
      <c r="F78" s="2"/>
      <c r="G78" s="2"/>
      <c r="H78" s="2"/>
      <c r="I78" s="2"/>
      <c r="J78" s="10">
        <f>L62+J70</f>
        <v>112.60131986818955</v>
      </c>
      <c r="K78" s="6"/>
      <c r="L78" s="6"/>
      <c r="M78" s="6">
        <f>O62+M70</f>
        <v>7.9685199581796393</v>
      </c>
      <c r="N78" s="6">
        <f>P62+N70</f>
        <v>2.7111372952635584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9"/>
  <sheetViews>
    <sheetView zoomScaleNormal="100" workbookViewId="0"/>
  </sheetViews>
  <sheetFormatPr baseColWidth="10" defaultRowHeight="14.4" x14ac:dyDescent="0.3"/>
  <cols>
    <col min="1" max="1" width="22.5546875" customWidth="1"/>
    <col min="2" max="2" width="19.5546875" customWidth="1"/>
    <col min="3" max="3" width="23.33203125" customWidth="1"/>
    <col min="4" max="4" width="24.109375" customWidth="1"/>
    <col min="5" max="5" width="25" customWidth="1"/>
    <col min="6" max="6" width="23.44140625" bestFit="1" customWidth="1"/>
    <col min="7" max="7" width="24.109375" bestFit="1" customWidth="1"/>
    <col min="8" max="8" width="23.6640625" bestFit="1" customWidth="1"/>
    <col min="9" max="9" width="24.5546875" bestFit="1" customWidth="1"/>
    <col min="10" max="10" width="21.88671875" customWidth="1"/>
    <col min="11" max="11" width="20.44140625" customWidth="1"/>
    <col min="12" max="12" width="21.33203125" customWidth="1"/>
    <col min="13" max="13" width="22" customWidth="1"/>
    <col min="14" max="14" width="22" bestFit="1" customWidth="1"/>
    <col min="15" max="15" width="23.6640625" bestFit="1" customWidth="1"/>
    <col min="16" max="16" width="24.5546875" bestFit="1" customWidth="1"/>
    <col min="17" max="17" width="23.6640625" bestFit="1" customWidth="1"/>
    <col min="18" max="18" width="24.5546875" bestFit="1" customWidth="1"/>
    <col min="19" max="19" width="23.44140625" bestFit="1" customWidth="1"/>
    <col min="20" max="20" width="24.109375" bestFit="1" customWidth="1"/>
  </cols>
  <sheetData>
    <row r="1" spans="1:20" ht="21" x14ac:dyDescent="0.4">
      <c r="A1" s="9" t="s">
        <v>43</v>
      </c>
    </row>
    <row r="3" spans="1:20" x14ac:dyDescent="0.3">
      <c r="A3" t="s">
        <v>25</v>
      </c>
    </row>
    <row r="5" spans="1:20" x14ac:dyDescent="0.3">
      <c r="A5" s="1" t="s">
        <v>0</v>
      </c>
      <c r="B5" s="1" t="s">
        <v>62</v>
      </c>
      <c r="C5" s="2" t="s">
        <v>19</v>
      </c>
      <c r="D5" s="2" t="s">
        <v>124</v>
      </c>
      <c r="E5" s="2" t="s">
        <v>11</v>
      </c>
      <c r="F5" s="2" t="s">
        <v>9</v>
      </c>
      <c r="G5" s="2" t="s">
        <v>7</v>
      </c>
      <c r="H5" s="2" t="s">
        <v>126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155</v>
      </c>
      <c r="N5" s="2" t="s">
        <v>21</v>
      </c>
      <c r="O5" s="2" t="s">
        <v>22</v>
      </c>
      <c r="P5" s="2" t="s">
        <v>156</v>
      </c>
      <c r="Q5" s="2" t="s">
        <v>157</v>
      </c>
    </row>
    <row r="6" spans="1:20" x14ac:dyDescent="0.3">
      <c r="A6" t="s">
        <v>1</v>
      </c>
      <c r="B6" s="3" t="s">
        <v>64</v>
      </c>
      <c r="C6" s="3">
        <v>15</v>
      </c>
      <c r="D6" s="3">
        <v>350</v>
      </c>
      <c r="E6" s="3">
        <v>161</v>
      </c>
      <c r="F6" s="3">
        <v>107</v>
      </c>
      <c r="G6" s="8">
        <v>893</v>
      </c>
      <c r="H6" s="3">
        <v>71</v>
      </c>
      <c r="I6" s="3">
        <v>57</v>
      </c>
      <c r="J6" s="3">
        <v>34.700000000000003</v>
      </c>
      <c r="K6" s="3">
        <v>11.6</v>
      </c>
      <c r="L6" s="4">
        <v>0</v>
      </c>
      <c r="M6" s="3">
        <v>87</v>
      </c>
      <c r="N6" s="3">
        <v>5.4</v>
      </c>
      <c r="O6" s="3">
        <v>1.7</v>
      </c>
      <c r="P6" s="3">
        <v>91</v>
      </c>
      <c r="Q6" s="3">
        <v>92</v>
      </c>
    </row>
    <row r="7" spans="1:20" x14ac:dyDescent="0.3">
      <c r="A7" t="s">
        <v>42</v>
      </c>
      <c r="B7" s="3" t="s">
        <v>64</v>
      </c>
      <c r="C7" s="3">
        <v>15</v>
      </c>
      <c r="D7" s="3">
        <v>860</v>
      </c>
      <c r="E7" s="3">
        <v>161</v>
      </c>
      <c r="F7" s="3">
        <v>107</v>
      </c>
      <c r="G7" s="8">
        <v>893</v>
      </c>
      <c r="H7" s="3">
        <v>71</v>
      </c>
      <c r="I7" s="3">
        <v>35</v>
      </c>
      <c r="J7" s="3">
        <v>57</v>
      </c>
      <c r="K7" s="3">
        <v>10</v>
      </c>
      <c r="L7" s="4">
        <v>0</v>
      </c>
      <c r="M7" s="3">
        <v>80</v>
      </c>
      <c r="N7" s="3">
        <v>5.4</v>
      </c>
      <c r="O7" s="3">
        <v>1.7</v>
      </c>
      <c r="P7" s="3">
        <v>81</v>
      </c>
      <c r="Q7" s="3">
        <v>75</v>
      </c>
      <c r="S7" s="1"/>
      <c r="T7" s="5"/>
    </row>
    <row r="8" spans="1:20" x14ac:dyDescent="0.3">
      <c r="A8" t="s">
        <v>2</v>
      </c>
      <c r="B8" s="3" t="s">
        <v>64</v>
      </c>
      <c r="C8" s="3">
        <v>40</v>
      </c>
      <c r="D8" s="3">
        <v>343</v>
      </c>
      <c r="E8" s="3">
        <v>80</v>
      </c>
      <c r="F8" s="3">
        <v>40</v>
      </c>
      <c r="G8" s="8">
        <v>960</v>
      </c>
      <c r="H8" s="3">
        <v>74</v>
      </c>
      <c r="I8" s="3">
        <v>58</v>
      </c>
      <c r="J8" s="3">
        <v>31</v>
      </c>
      <c r="K8" s="3">
        <v>4</v>
      </c>
      <c r="L8" s="4">
        <v>1.5</v>
      </c>
      <c r="M8" s="3">
        <v>67</v>
      </c>
      <c r="N8" s="3">
        <v>3.4</v>
      </c>
      <c r="O8" s="3">
        <v>2.1</v>
      </c>
      <c r="P8" s="3">
        <v>79</v>
      </c>
      <c r="Q8" s="3">
        <v>79</v>
      </c>
    </row>
    <row r="9" spans="1:20" x14ac:dyDescent="0.3">
      <c r="A9" t="s">
        <v>30</v>
      </c>
      <c r="B9" s="3" t="s">
        <v>63</v>
      </c>
      <c r="C9" s="3">
        <v>22</v>
      </c>
      <c r="D9" s="8">
        <v>889.3</v>
      </c>
      <c r="E9" s="8">
        <v>181</v>
      </c>
      <c r="F9" s="8">
        <v>68.069999999999993</v>
      </c>
      <c r="G9" s="8">
        <v>931.93000000000006</v>
      </c>
      <c r="H9" s="8">
        <v>83.893479123968532</v>
      </c>
      <c r="I9" s="8">
        <v>21.600926538716077</v>
      </c>
      <c r="J9" s="8">
        <v>72.371442753143612</v>
      </c>
      <c r="K9" s="8">
        <v>14.121277299801456</v>
      </c>
      <c r="L9" s="4">
        <v>4.7236929185969556E-2</v>
      </c>
      <c r="M9" s="8">
        <v>87.626779757108665</v>
      </c>
      <c r="N9" s="8">
        <v>3.4106551952349431</v>
      </c>
      <c r="O9" s="8">
        <v>1.7425380542686961</v>
      </c>
      <c r="P9" s="8">
        <v>82.980655412270877</v>
      </c>
      <c r="Q9" s="8">
        <v>85.834198609394818</v>
      </c>
    </row>
    <row r="10" spans="1:20" x14ac:dyDescent="0.3">
      <c r="A10" t="s">
        <v>5</v>
      </c>
      <c r="B10" s="3" t="s">
        <v>63</v>
      </c>
      <c r="C10" s="3">
        <v>5</v>
      </c>
      <c r="D10" s="3">
        <v>890</v>
      </c>
      <c r="E10" s="3">
        <v>385</v>
      </c>
      <c r="F10" s="3">
        <v>79</v>
      </c>
      <c r="G10" s="8">
        <v>921</v>
      </c>
      <c r="H10" s="3">
        <v>79</v>
      </c>
      <c r="I10" s="3">
        <v>16</v>
      </c>
      <c r="J10" s="3">
        <v>79</v>
      </c>
      <c r="K10" s="3">
        <v>12</v>
      </c>
      <c r="L10" s="3">
        <v>0.1</v>
      </c>
      <c r="M10" s="3">
        <v>81</v>
      </c>
      <c r="N10" s="3">
        <v>4.4000000000000004</v>
      </c>
      <c r="O10" s="3">
        <v>2</v>
      </c>
      <c r="P10" s="3">
        <v>79</v>
      </c>
      <c r="Q10" s="3">
        <v>84</v>
      </c>
    </row>
    <row r="11" spans="1:20" x14ac:dyDescent="0.3">
      <c r="A11" t="s">
        <v>6</v>
      </c>
      <c r="B11" s="3" t="s">
        <v>63</v>
      </c>
      <c r="C11" s="3">
        <v>3</v>
      </c>
      <c r="D11" s="3">
        <v>960</v>
      </c>
      <c r="E11" s="3"/>
      <c r="F11" s="3">
        <v>904</v>
      </c>
      <c r="G11" s="8">
        <v>96</v>
      </c>
      <c r="H11" s="3"/>
      <c r="I11" s="3"/>
      <c r="J11" s="3"/>
      <c r="K11" s="3"/>
      <c r="L11" s="3"/>
      <c r="M11" s="3"/>
      <c r="N11" s="3"/>
    </row>
    <row r="12" spans="1:20" s="1" customFormat="1" x14ac:dyDescent="0.3">
      <c r="A12" s="1" t="s">
        <v>44</v>
      </c>
      <c r="C12" s="2">
        <f>SUM(C6:C11)</f>
        <v>100</v>
      </c>
      <c r="D12" s="11"/>
      <c r="E12" s="11">
        <f>$C$6/100*E6+$C$7/100*E7+$C$8/100*E8+$C$9/100*E9+$C$10/100*E10+$C$11/100*E11</f>
        <v>139.37</v>
      </c>
      <c r="F12" s="11">
        <f>$C$6/100*F6+$C$7/100*F7+$C$8/100*F8+$C$9/100*F9+$C$10/100*F10+$C$11/100*F11</f>
        <v>94.145399999999995</v>
      </c>
      <c r="G12" s="11">
        <f>$C$6/100*G6+$C$7/100*G7+$C$8/100*G8+$C$9/100*G9+$C$10/100*G10+$C$11/100*G11</f>
        <v>905.8546</v>
      </c>
      <c r="H12" s="2"/>
      <c r="I12" s="2"/>
      <c r="J12" s="2"/>
      <c r="K12" s="2"/>
      <c r="L12" s="2"/>
      <c r="M12" s="2"/>
      <c r="N12" s="2"/>
    </row>
    <row r="13" spans="1:20" s="1" customFormat="1" x14ac:dyDescent="0.3">
      <c r="A13" s="1" t="s">
        <v>49</v>
      </c>
      <c r="C13" s="2">
        <f>C9+C10+C11</f>
        <v>30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20" s="1" customForma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6" spans="1:20" s="1" customFormat="1" x14ac:dyDescent="0.3">
      <c r="A16" s="1" t="s">
        <v>148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8" s="1" customFormat="1" x14ac:dyDescent="0.3">
      <c r="A17"/>
      <c r="B17"/>
      <c r="C17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8" s="1" customFormat="1" x14ac:dyDescent="0.3">
      <c r="A18" t="s">
        <v>80</v>
      </c>
      <c r="B18"/>
      <c r="C18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8" s="1" customFormat="1" x14ac:dyDescent="0.3">
      <c r="B19" s="2"/>
      <c r="C19" s="2"/>
      <c r="D19" s="12" t="s">
        <v>101</v>
      </c>
      <c r="E19" s="2"/>
      <c r="F19" s="2"/>
      <c r="G19" s="2"/>
      <c r="H19" s="2"/>
      <c r="I19" s="2"/>
      <c r="J19" s="2"/>
      <c r="K19" s="2"/>
      <c r="L19" s="2"/>
      <c r="M19" s="2"/>
    </row>
    <row r="20" spans="1:18" s="1" customFormat="1" x14ac:dyDescent="0.3">
      <c r="B20" s="2" t="s">
        <v>46</v>
      </c>
      <c r="C20" s="2" t="s">
        <v>45</v>
      </c>
      <c r="D20" s="2" t="s">
        <v>178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8" s="1" customFormat="1" x14ac:dyDescent="0.3">
      <c r="A21" s="1" t="s">
        <v>44</v>
      </c>
      <c r="B21" s="2">
        <v>23</v>
      </c>
      <c r="C21" s="2">
        <v>650</v>
      </c>
      <c r="D21" s="6">
        <f>B21/(C21^0.75*50/1000)</f>
        <v>3.5733274385578899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8" s="1" customFormat="1" x14ac:dyDescent="0.3"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8" s="1" customFormat="1" x14ac:dyDescent="0.3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8" s="1" customFormat="1" x14ac:dyDescent="0.3">
      <c r="A24" s="1" t="s">
        <v>147</v>
      </c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8" s="1" customFormat="1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8" s="1" customFormat="1" x14ac:dyDescent="0.3">
      <c r="A26" t="s">
        <v>135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8" s="1" customFormat="1" x14ac:dyDescent="0.3">
      <c r="A2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8" s="1" customFormat="1" x14ac:dyDescent="0.3">
      <c r="A28"/>
      <c r="B28" s="2"/>
      <c r="C28" s="2"/>
      <c r="D28" s="12" t="s">
        <v>88</v>
      </c>
      <c r="E28" s="12" t="s">
        <v>90</v>
      </c>
      <c r="F28" s="12" t="s">
        <v>89</v>
      </c>
      <c r="G28" s="12" t="s">
        <v>106</v>
      </c>
      <c r="H28" s="12"/>
      <c r="I28" s="12"/>
      <c r="J28" s="2"/>
      <c r="K28" s="2"/>
      <c r="L28" s="2"/>
      <c r="M28" s="2"/>
      <c r="N28" s="12" t="s">
        <v>92</v>
      </c>
      <c r="O28" s="12" t="s">
        <v>100</v>
      </c>
      <c r="P28" s="12" t="s">
        <v>100</v>
      </c>
      <c r="Q28" s="12" t="s">
        <v>98</v>
      </c>
      <c r="R28" s="12" t="s">
        <v>98</v>
      </c>
    </row>
    <row r="29" spans="1:18" s="1" customFormat="1" x14ac:dyDescent="0.3">
      <c r="A29" s="1" t="s">
        <v>0</v>
      </c>
      <c r="B29" s="2" t="s">
        <v>7</v>
      </c>
      <c r="C29" s="2" t="s">
        <v>126</v>
      </c>
      <c r="D29" s="2" t="s">
        <v>179</v>
      </c>
      <c r="E29" s="2" t="s">
        <v>180</v>
      </c>
      <c r="F29" s="2" t="s">
        <v>107</v>
      </c>
      <c r="G29" s="2" t="s">
        <v>8</v>
      </c>
      <c r="H29" s="2" t="s">
        <v>161</v>
      </c>
      <c r="I29" s="2" t="s">
        <v>162</v>
      </c>
      <c r="J29" s="2" t="s">
        <v>160</v>
      </c>
      <c r="K29" s="35" t="s">
        <v>189</v>
      </c>
      <c r="L29" s="2" t="s">
        <v>185</v>
      </c>
      <c r="M29" s="2" t="s">
        <v>186</v>
      </c>
      <c r="N29" s="35" t="s">
        <v>187</v>
      </c>
      <c r="O29" s="2" t="s">
        <v>163</v>
      </c>
      <c r="P29" s="2" t="s">
        <v>164</v>
      </c>
      <c r="Q29" s="2" t="s">
        <v>165</v>
      </c>
      <c r="R29" s="2" t="s">
        <v>166</v>
      </c>
    </row>
    <row r="30" spans="1:18" s="1" customFormat="1" x14ac:dyDescent="0.3">
      <c r="A30" t="s">
        <v>1</v>
      </c>
      <c r="B30" s="8">
        <f>G6</f>
        <v>893</v>
      </c>
      <c r="C30" s="7">
        <f>H6</f>
        <v>71</v>
      </c>
      <c r="D30" s="13">
        <f>C30-(1.5+0.05*(C30-65))*($D$21-1)</f>
        <v>66.368010610595803</v>
      </c>
      <c r="E30" s="15">
        <f>B30*D30/100</f>
        <v>592.66633475262051</v>
      </c>
      <c r="F30" s="15">
        <f>IF($D$21&lt;3.4,150,IF((-11+47.1*$D$21)&gt;180,180,(-11+47.1*$D$21)))</f>
        <v>157.30372235607663</v>
      </c>
      <c r="G30" s="13">
        <f>F30*E30/1000</f>
        <v>93.228620571719787</v>
      </c>
      <c r="H30" s="13">
        <v>8.6999999999999993</v>
      </c>
      <c r="I30" s="13">
        <v>2.6</v>
      </c>
      <c r="J30" s="14">
        <v>78</v>
      </c>
      <c r="K30" s="14">
        <v>85</v>
      </c>
      <c r="L30" s="14">
        <v>86</v>
      </c>
      <c r="M30" s="14">
        <v>89</v>
      </c>
      <c r="N30" s="13">
        <f>G30*J30/100*K30/100</f>
        <v>61.810575439050218</v>
      </c>
      <c r="O30" s="16">
        <f>(G30*J30/100)*H30/100</f>
        <v>6.3264941919969031</v>
      </c>
      <c r="P30" s="16">
        <f>(G30*J30/100)*I30/100</f>
        <v>1.8906764251944772</v>
      </c>
      <c r="Q30" s="16">
        <f>O30*L30/100</f>
        <v>5.4407850051173368</v>
      </c>
      <c r="R30" s="16">
        <f>P30*M30/100</f>
        <v>1.6827020184230848</v>
      </c>
    </row>
    <row r="31" spans="1:18" s="1" customFormat="1" x14ac:dyDescent="0.3">
      <c r="A31" t="s">
        <v>42</v>
      </c>
      <c r="B31" s="8">
        <f t="shared" ref="B31:B34" si="0">G7</f>
        <v>893</v>
      </c>
      <c r="C31" s="7">
        <f t="shared" ref="C31:C34" si="1">H7</f>
        <v>71</v>
      </c>
      <c r="D31" s="13">
        <f t="shared" ref="D31:D34" si="2">C31-(1.5+0.05*(C31-65))*($D$21-1)</f>
        <v>66.368010610595803</v>
      </c>
      <c r="E31" s="15">
        <f t="shared" ref="E31:E34" si="3">B31*D31/100</f>
        <v>592.66633475262051</v>
      </c>
      <c r="F31" s="15">
        <f t="shared" ref="F31:F34" si="4">IF($D$21&lt;3.4,150,IF((-11+47.1*$D$21)&gt;180,180,(-11+47.1*$D$21)))</f>
        <v>157.30372235607663</v>
      </c>
      <c r="G31" s="13">
        <f t="shared" ref="G31:G34" si="5">F31*E31/1000</f>
        <v>93.228620571719787</v>
      </c>
      <c r="H31" s="13">
        <v>8.6999999999999993</v>
      </c>
      <c r="I31" s="13">
        <v>2.6</v>
      </c>
      <c r="J31" s="14">
        <v>78</v>
      </c>
      <c r="K31" s="14">
        <v>85</v>
      </c>
      <c r="L31" s="14">
        <v>86</v>
      </c>
      <c r="M31" s="14">
        <v>89</v>
      </c>
      <c r="N31" s="13">
        <f>G31*J31/100*K31/100</f>
        <v>61.810575439050218</v>
      </c>
      <c r="O31" s="16">
        <f t="shared" ref="O31:O34" si="6">(G31*J31/100)*H31/100</f>
        <v>6.3264941919969031</v>
      </c>
      <c r="P31" s="16">
        <f t="shared" ref="P31:P34" si="7">(G31*J31/100)*I31/100</f>
        <v>1.8906764251944772</v>
      </c>
      <c r="Q31" s="16">
        <f t="shared" ref="Q31:Q34" si="8">O31*L31/100</f>
        <v>5.4407850051173368</v>
      </c>
      <c r="R31" s="16">
        <f t="shared" ref="R31:R34" si="9">P31*M31/100</f>
        <v>1.6827020184230848</v>
      </c>
    </row>
    <row r="32" spans="1:18" s="1" customFormat="1" x14ac:dyDescent="0.3">
      <c r="A32" t="s">
        <v>2</v>
      </c>
      <c r="B32" s="8">
        <f t="shared" si="0"/>
        <v>960</v>
      </c>
      <c r="C32" s="7">
        <f t="shared" si="1"/>
        <v>74</v>
      </c>
      <c r="D32" s="13">
        <f t="shared" si="2"/>
        <v>68.982011494812113</v>
      </c>
      <c r="E32" s="15">
        <f t="shared" si="3"/>
        <v>662.22731035019638</v>
      </c>
      <c r="F32" s="15">
        <f t="shared" si="4"/>
        <v>157.30372235607663</v>
      </c>
      <c r="G32" s="13">
        <f t="shared" si="5"/>
        <v>104.1708209639387</v>
      </c>
      <c r="H32" s="13">
        <v>8.6999999999999993</v>
      </c>
      <c r="I32" s="13">
        <v>2.6</v>
      </c>
      <c r="J32" s="14">
        <v>78</v>
      </c>
      <c r="K32" s="14">
        <v>85</v>
      </c>
      <c r="L32" s="14">
        <v>86</v>
      </c>
      <c r="M32" s="14">
        <v>89</v>
      </c>
      <c r="N32" s="13">
        <f>G32*J32/100*K32/100</f>
        <v>69.06525429909135</v>
      </c>
      <c r="O32" s="16">
        <f t="shared" si="6"/>
        <v>7.0690319106128792</v>
      </c>
      <c r="P32" s="16">
        <f t="shared" si="7"/>
        <v>2.1125842491486768</v>
      </c>
      <c r="Q32" s="16">
        <f t="shared" si="8"/>
        <v>6.0793674431270759</v>
      </c>
      <c r="R32" s="16">
        <f t="shared" si="9"/>
        <v>1.8801999817423223</v>
      </c>
    </row>
    <row r="33" spans="1:20" s="1" customFormat="1" x14ac:dyDescent="0.3">
      <c r="A33" t="s">
        <v>30</v>
      </c>
      <c r="B33" s="8">
        <f t="shared" si="0"/>
        <v>931.93000000000006</v>
      </c>
      <c r="C33" s="7">
        <f t="shared" si="1"/>
        <v>83.893479123968532</v>
      </c>
      <c r="D33" s="13">
        <f t="shared" si="2"/>
        <v>77.602532554155246</v>
      </c>
      <c r="E33" s="15">
        <f t="shared" si="3"/>
        <v>723.20128163193908</v>
      </c>
      <c r="F33" s="15">
        <f t="shared" si="4"/>
        <v>157.30372235607663</v>
      </c>
      <c r="G33" s="13">
        <f t="shared" si="5"/>
        <v>113.76225361338933</v>
      </c>
      <c r="H33" s="13">
        <v>8.6999999999999993</v>
      </c>
      <c r="I33" s="13">
        <v>2.6</v>
      </c>
      <c r="J33" s="14">
        <v>78</v>
      </c>
      <c r="K33" s="14">
        <v>85</v>
      </c>
      <c r="L33" s="14">
        <v>86</v>
      </c>
      <c r="M33" s="14">
        <v>89</v>
      </c>
      <c r="N33" s="13">
        <f>G33*J33/100*K33/100</f>
        <v>75.42437414567712</v>
      </c>
      <c r="O33" s="16">
        <f t="shared" si="6"/>
        <v>7.7199065302045993</v>
      </c>
      <c r="P33" s="16">
        <f t="shared" si="7"/>
        <v>2.3070985032795357</v>
      </c>
      <c r="Q33" s="16">
        <f t="shared" si="8"/>
        <v>6.6391196159759556</v>
      </c>
      <c r="R33" s="16">
        <f t="shared" si="9"/>
        <v>2.0533176679187868</v>
      </c>
    </row>
    <row r="34" spans="1:20" s="1" customFormat="1" x14ac:dyDescent="0.3">
      <c r="A34" t="s">
        <v>5</v>
      </c>
      <c r="B34" s="8">
        <f t="shared" si="0"/>
        <v>921</v>
      </c>
      <c r="C34" s="7">
        <f t="shared" si="1"/>
        <v>79</v>
      </c>
      <c r="D34" s="13">
        <f t="shared" si="2"/>
        <v>73.338679635172639</v>
      </c>
      <c r="E34" s="15">
        <f t="shared" si="3"/>
        <v>675.44923943994002</v>
      </c>
      <c r="F34" s="15">
        <f t="shared" si="4"/>
        <v>157.30372235607663</v>
      </c>
      <c r="G34" s="13">
        <f t="shared" si="5"/>
        <v>106.25067962648346</v>
      </c>
      <c r="H34" s="13">
        <v>8.6999999999999993</v>
      </c>
      <c r="I34" s="13">
        <v>2.6</v>
      </c>
      <c r="J34" s="14">
        <v>78</v>
      </c>
      <c r="K34" s="14">
        <v>85</v>
      </c>
      <c r="L34" s="14">
        <v>86</v>
      </c>
      <c r="M34" s="14">
        <v>89</v>
      </c>
      <c r="N34" s="13">
        <f>G34*J34/100*K34/100</f>
        <v>70.444200592358527</v>
      </c>
      <c r="O34" s="16">
        <f t="shared" si="6"/>
        <v>7.2101711194531664</v>
      </c>
      <c r="P34" s="16">
        <f t="shared" si="7"/>
        <v>2.1547637828250843</v>
      </c>
      <c r="Q34" s="16">
        <f t="shared" si="8"/>
        <v>6.2007471627297228</v>
      </c>
      <c r="R34" s="16">
        <f t="shared" si="9"/>
        <v>1.917739766714325</v>
      </c>
    </row>
    <row r="35" spans="1:20" s="1" customFormat="1" x14ac:dyDescent="0.3">
      <c r="B35" s="2"/>
      <c r="C35" s="2"/>
      <c r="D35" s="2"/>
      <c r="E35" s="2"/>
      <c r="F35" s="2"/>
      <c r="G35" s="2"/>
      <c r="H35" s="2"/>
      <c r="L35" s="2"/>
      <c r="M35" s="2"/>
    </row>
    <row r="36" spans="1:20" s="1" customFormat="1" x14ac:dyDescent="0.3">
      <c r="A36"/>
      <c r="B36" s="2"/>
      <c r="C36" s="2"/>
      <c r="D36" s="2"/>
      <c r="E36" s="2"/>
      <c r="F36" s="2"/>
      <c r="G36" s="2"/>
      <c r="H36" s="12" t="s">
        <v>108</v>
      </c>
      <c r="I36" s="2"/>
      <c r="L36" s="2"/>
      <c r="M36" s="2"/>
    </row>
    <row r="37" spans="1:20" s="1" customFormat="1" ht="16.2" x14ac:dyDescent="0.3">
      <c r="A37" s="1" t="s">
        <v>146</v>
      </c>
      <c r="B37" s="2"/>
      <c r="C37" s="2"/>
      <c r="D37" s="2"/>
      <c r="E37" s="2"/>
      <c r="F37" s="2"/>
      <c r="G37" s="18" t="s">
        <v>27</v>
      </c>
      <c r="H37" s="2" t="s">
        <v>122</v>
      </c>
      <c r="L37" s="2"/>
      <c r="M37" s="2"/>
    </row>
    <row r="38" spans="1:20" s="1" customFormat="1" x14ac:dyDescent="0.3">
      <c r="B38" s="2"/>
      <c r="C38" s="2"/>
      <c r="D38" s="2"/>
      <c r="E38" s="2"/>
      <c r="F38" s="2"/>
      <c r="G38" t="s">
        <v>28</v>
      </c>
      <c r="H38" s="30">
        <f>(1.7286+0.8857*D21)/100</f>
        <v>4.8934961123307232E-2</v>
      </c>
      <c r="I38" s="17"/>
      <c r="L38" s="2"/>
      <c r="M38" s="2"/>
    </row>
    <row r="39" spans="1:20" s="1" customFormat="1" x14ac:dyDescent="0.3">
      <c r="A39" t="s">
        <v>81</v>
      </c>
      <c r="B39" s="2"/>
      <c r="C39" s="2"/>
      <c r="D39" s="2"/>
      <c r="E39" s="2"/>
      <c r="F39" s="2"/>
      <c r="G39" t="s">
        <v>49</v>
      </c>
      <c r="H39" s="30">
        <f>(2.2357+1.2429*D21)/100</f>
        <v>6.6769886733836006E-2</v>
      </c>
      <c r="M39" s="2"/>
    </row>
    <row r="40" spans="1:20" s="1" customFormat="1" x14ac:dyDescent="0.3">
      <c r="A40"/>
      <c r="B40" s="2"/>
      <c r="C40" s="2"/>
      <c r="D40" s="2"/>
      <c r="E40" s="2"/>
      <c r="F40" s="2"/>
      <c r="G40" s="23" t="s">
        <v>29</v>
      </c>
      <c r="H40" s="30">
        <f>(1.9607+0.9643*D21)/100</f>
        <v>5.4064596490013737E-2</v>
      </c>
      <c r="L40" s="2"/>
      <c r="M40" s="2"/>
    </row>
    <row r="41" spans="1:20" s="1" customFormat="1" x14ac:dyDescent="0.3">
      <c r="A41"/>
      <c r="B41" s="2"/>
      <c r="C41" s="2"/>
      <c r="D41" s="2"/>
      <c r="E41" s="2"/>
      <c r="F41" s="2"/>
      <c r="G41" s="23"/>
      <c r="L41" s="2"/>
      <c r="M41" s="2"/>
    </row>
    <row r="42" spans="1:20" s="1" customFormat="1" x14ac:dyDescent="0.3">
      <c r="A42"/>
      <c r="B42" s="2"/>
      <c r="C42" s="2"/>
      <c r="D42" s="2"/>
      <c r="E42" s="2"/>
      <c r="F42" s="2"/>
      <c r="G42" s="12" t="s">
        <v>110</v>
      </c>
      <c r="H42" s="12" t="s">
        <v>105</v>
      </c>
      <c r="I42" s="12" t="s">
        <v>104</v>
      </c>
      <c r="J42" s="12" t="s">
        <v>95</v>
      </c>
      <c r="K42" s="2"/>
      <c r="L42" s="2"/>
      <c r="M42" s="2"/>
      <c r="P42" s="12" t="s">
        <v>102</v>
      </c>
      <c r="Q42" s="12" t="s">
        <v>93</v>
      </c>
      <c r="R42" s="12" t="s">
        <v>93</v>
      </c>
      <c r="S42" s="12" t="s">
        <v>94</v>
      </c>
      <c r="T42" s="12" t="s">
        <v>94</v>
      </c>
    </row>
    <row r="43" spans="1:20" s="1" customFormat="1" ht="16.2" x14ac:dyDescent="0.3">
      <c r="A43" s="1" t="s">
        <v>0</v>
      </c>
      <c r="B43" s="2" t="s">
        <v>11</v>
      </c>
      <c r="C43" s="2" t="s">
        <v>12</v>
      </c>
      <c r="D43" s="2" t="s">
        <v>13</v>
      </c>
      <c r="E43" s="2" t="s">
        <v>123</v>
      </c>
      <c r="F43" s="2" t="s">
        <v>15</v>
      </c>
      <c r="G43" s="2" t="s">
        <v>122</v>
      </c>
      <c r="H43" s="2" t="s">
        <v>26</v>
      </c>
      <c r="I43" s="2" t="s">
        <v>18</v>
      </c>
      <c r="J43" s="2" t="s">
        <v>17</v>
      </c>
      <c r="K43" s="2" t="s">
        <v>155</v>
      </c>
      <c r="L43" s="2" t="s">
        <v>21</v>
      </c>
      <c r="M43" s="2" t="s">
        <v>22</v>
      </c>
      <c r="N43" s="2" t="s">
        <v>156</v>
      </c>
      <c r="O43" s="2" t="s">
        <v>157</v>
      </c>
      <c r="P43" s="35" t="s">
        <v>188</v>
      </c>
      <c r="Q43" s="2" t="s">
        <v>149</v>
      </c>
      <c r="R43" s="2" t="s">
        <v>150</v>
      </c>
      <c r="S43" s="2" t="s">
        <v>167</v>
      </c>
      <c r="T43" s="2" t="s">
        <v>168</v>
      </c>
    </row>
    <row r="44" spans="1:20" s="1" customFormat="1" x14ac:dyDescent="0.3">
      <c r="A44" t="s">
        <v>1</v>
      </c>
      <c r="B44" s="3">
        <f>E6</f>
        <v>161</v>
      </c>
      <c r="C44" s="8">
        <f t="shared" ref="C44:D48" si="10">I6</f>
        <v>57</v>
      </c>
      <c r="D44" s="8">
        <f t="shared" si="10"/>
        <v>34.700000000000003</v>
      </c>
      <c r="E44" s="28">
        <f>K6/100</f>
        <v>0.11599999999999999</v>
      </c>
      <c r="F44" s="7">
        <f>L6</f>
        <v>0</v>
      </c>
      <c r="G44" s="29">
        <f>IF(B6="GF",$H$38,IF(B6="KF",$H$39,$H$40))</f>
        <v>4.8934961123307232E-2</v>
      </c>
      <c r="H44" s="7">
        <f>C44+(D44*E44)/(E44+G44)*(EXP(-G44*F44))</f>
        <v>81.404771266115716</v>
      </c>
      <c r="I44" s="8">
        <f>B44*H44/100</f>
        <v>131.06168173844628</v>
      </c>
      <c r="J44" s="7">
        <f>B44-I44</f>
        <v>29.938318261553718</v>
      </c>
      <c r="K44" s="8">
        <f t="shared" ref="K44:O48" si="11">M6</f>
        <v>87</v>
      </c>
      <c r="L44" s="3">
        <f t="shared" si="11"/>
        <v>5.4</v>
      </c>
      <c r="M44" s="3">
        <f t="shared" si="11"/>
        <v>1.7</v>
      </c>
      <c r="N44" s="3">
        <f t="shared" si="11"/>
        <v>91</v>
      </c>
      <c r="O44" s="3">
        <f t="shared" si="11"/>
        <v>92</v>
      </c>
      <c r="P44" s="13">
        <f>J44*K44/100</f>
        <v>26.046336887551732</v>
      </c>
      <c r="Q44" s="16">
        <f>J44*L44/100</f>
        <v>1.6166691861239009</v>
      </c>
      <c r="R44" s="16">
        <f>J44*M44/100</f>
        <v>0.50895141044641323</v>
      </c>
      <c r="S44" s="16">
        <f>Q44*N44/100</f>
        <v>1.4711689593727499</v>
      </c>
      <c r="T44" s="16">
        <f>R44*O44/100</f>
        <v>0.46823529761070021</v>
      </c>
    </row>
    <row r="45" spans="1:20" s="1" customFormat="1" x14ac:dyDescent="0.3">
      <c r="A45" t="s">
        <v>42</v>
      </c>
      <c r="B45" s="3">
        <f>E7</f>
        <v>161</v>
      </c>
      <c r="C45" s="8">
        <f t="shared" si="10"/>
        <v>35</v>
      </c>
      <c r="D45" s="8">
        <f t="shared" si="10"/>
        <v>57</v>
      </c>
      <c r="E45" s="28">
        <f>K7/100</f>
        <v>0.1</v>
      </c>
      <c r="F45" s="7">
        <f>L7</f>
        <v>0</v>
      </c>
      <c r="G45" s="29">
        <f>IF(B7="GF",$H$38,IF(B7="KF",$H$39,$H$40))</f>
        <v>4.8934961123307232E-2</v>
      </c>
      <c r="H45" s="7">
        <f t="shared" ref="H45:H48" si="12">C45+(D45*E45)/(E45+G45)*(EXP(-G45*F45))</f>
        <v>73.271739267993752</v>
      </c>
      <c r="I45" s="8">
        <f>B45*H45/100</f>
        <v>117.96750022146995</v>
      </c>
      <c r="J45" s="7">
        <f>B45-I45</f>
        <v>43.032499778530052</v>
      </c>
      <c r="K45" s="8">
        <f t="shared" si="11"/>
        <v>80</v>
      </c>
      <c r="L45" s="3">
        <f t="shared" si="11"/>
        <v>5.4</v>
      </c>
      <c r="M45" s="3">
        <f t="shared" si="11"/>
        <v>1.7</v>
      </c>
      <c r="N45" s="3">
        <f t="shared" si="11"/>
        <v>81</v>
      </c>
      <c r="O45" s="3">
        <f t="shared" si="11"/>
        <v>75</v>
      </c>
      <c r="P45" s="13">
        <f>J45*K45/100</f>
        <v>34.425999822824039</v>
      </c>
      <c r="Q45" s="16">
        <f t="shared" ref="Q45:Q48" si="13">J45*L45/100</f>
        <v>2.3237549880406227</v>
      </c>
      <c r="R45" s="16">
        <f t="shared" ref="R45:R48" si="14">J45*M45/100</f>
        <v>0.73155249623501095</v>
      </c>
      <c r="S45" s="16">
        <f t="shared" ref="S45:S48" si="15">Q45*N45/100</f>
        <v>1.8822415403129045</v>
      </c>
      <c r="T45" s="16">
        <f t="shared" ref="T45:T48" si="16">R45*O45/100</f>
        <v>0.54866437217625819</v>
      </c>
    </row>
    <row r="46" spans="1:20" s="1" customFormat="1" x14ac:dyDescent="0.3">
      <c r="A46" t="s">
        <v>2</v>
      </c>
      <c r="B46" s="3">
        <f>E8</f>
        <v>80</v>
      </c>
      <c r="C46" s="8">
        <f t="shared" si="10"/>
        <v>58</v>
      </c>
      <c r="D46" s="8">
        <f t="shared" si="10"/>
        <v>31</v>
      </c>
      <c r="E46" s="28">
        <f>K8/100</f>
        <v>0.04</v>
      </c>
      <c r="F46" s="7">
        <f>L8</f>
        <v>1.5</v>
      </c>
      <c r="G46" s="29">
        <f>IF(B8="GF",$H$38,IF(B8="KF",$H$39,$H$40))</f>
        <v>4.8934961123307232E-2</v>
      </c>
      <c r="H46" s="7">
        <f t="shared" si="12"/>
        <v>70.955998534854274</v>
      </c>
      <c r="I46" s="8">
        <f>B46*H46/100</f>
        <v>56.764798827883425</v>
      </c>
      <c r="J46" s="7">
        <f>B46-I46</f>
        <v>23.235201172116575</v>
      </c>
      <c r="K46" s="8">
        <f t="shared" si="11"/>
        <v>67</v>
      </c>
      <c r="L46" s="3">
        <f t="shared" si="11"/>
        <v>3.4</v>
      </c>
      <c r="M46" s="3">
        <f t="shared" si="11"/>
        <v>2.1</v>
      </c>
      <c r="N46" s="3">
        <f t="shared" si="11"/>
        <v>79</v>
      </c>
      <c r="O46" s="3">
        <f t="shared" si="11"/>
        <v>79</v>
      </c>
      <c r="P46" s="13">
        <f>J46*K46/100</f>
        <v>15.567584785318106</v>
      </c>
      <c r="Q46" s="16">
        <f t="shared" si="13"/>
        <v>0.78999683985196356</v>
      </c>
      <c r="R46" s="16">
        <f t="shared" si="14"/>
        <v>0.48793922461444805</v>
      </c>
      <c r="S46" s="16">
        <f t="shared" si="15"/>
        <v>0.62409750348305126</v>
      </c>
      <c r="T46" s="16">
        <f t="shared" si="16"/>
        <v>0.385471987445414</v>
      </c>
    </row>
    <row r="47" spans="1:20" s="1" customFormat="1" x14ac:dyDescent="0.3">
      <c r="A47" t="s">
        <v>30</v>
      </c>
      <c r="B47" s="3">
        <f>E9</f>
        <v>181</v>
      </c>
      <c r="C47" s="8">
        <f t="shared" si="10"/>
        <v>21.600926538716077</v>
      </c>
      <c r="D47" s="8">
        <f t="shared" si="10"/>
        <v>72.371442753143612</v>
      </c>
      <c r="E47" s="28">
        <f>K9/100</f>
        <v>0.14121277299801455</v>
      </c>
      <c r="F47" s="7">
        <f>L9</f>
        <v>4.7236929185969556E-2</v>
      </c>
      <c r="G47" s="29">
        <f>IF(B9="GF",$H$38,IF(B9="KF",$H$39,$H$40))</f>
        <v>6.6769886733836006E-2</v>
      </c>
      <c r="H47" s="7">
        <f t="shared" si="12"/>
        <v>70.583806660890104</v>
      </c>
      <c r="I47" s="8">
        <f>B47*H47/100</f>
        <v>127.75669005621108</v>
      </c>
      <c r="J47" s="7">
        <f>B47-I47</f>
        <v>53.243309943788915</v>
      </c>
      <c r="K47" s="8">
        <f t="shared" si="11"/>
        <v>87.626779757108665</v>
      </c>
      <c r="L47" s="8">
        <f t="shared" si="11"/>
        <v>3.4106551952349431</v>
      </c>
      <c r="M47" s="8">
        <f t="shared" si="11"/>
        <v>1.7425380542686961</v>
      </c>
      <c r="N47" s="8">
        <f t="shared" si="11"/>
        <v>82.980655412270877</v>
      </c>
      <c r="O47" s="8">
        <f t="shared" si="11"/>
        <v>85.834198609394818</v>
      </c>
      <c r="P47" s="13">
        <f>J47*K47/100</f>
        <v>46.65539793983865</v>
      </c>
      <c r="Q47" s="16">
        <f t="shared" si="13"/>
        <v>1.8159457167128799</v>
      </c>
      <c r="R47" s="16">
        <f t="shared" si="14"/>
        <v>0.92778493712275045</v>
      </c>
      <c r="S47" s="16">
        <f t="shared" si="15"/>
        <v>1.5068836576594073</v>
      </c>
      <c r="T47" s="16">
        <f t="shared" si="16"/>
        <v>0.79635676559799051</v>
      </c>
    </row>
    <row r="48" spans="1:20" s="1" customFormat="1" x14ac:dyDescent="0.3">
      <c r="A48" t="s">
        <v>5</v>
      </c>
      <c r="B48" s="3">
        <f>E10</f>
        <v>385</v>
      </c>
      <c r="C48" s="8">
        <f t="shared" si="10"/>
        <v>16</v>
      </c>
      <c r="D48" s="8">
        <f t="shared" si="10"/>
        <v>79</v>
      </c>
      <c r="E48" s="28">
        <f>K10/100</f>
        <v>0.12</v>
      </c>
      <c r="F48" s="7">
        <f>L10</f>
        <v>0.1</v>
      </c>
      <c r="G48" s="29">
        <f>IF(B10="GF",$H$38,IF(B10="KF",$H$39,$H$40))</f>
        <v>6.6769886733836006E-2</v>
      </c>
      <c r="H48" s="7">
        <f t="shared" si="12"/>
        <v>66.419867795801636</v>
      </c>
      <c r="I48" s="8">
        <f>B48*H48/100</f>
        <v>255.7164910138363</v>
      </c>
      <c r="J48" s="7">
        <f>B48-I48</f>
        <v>129.2835089861637</v>
      </c>
      <c r="K48" s="8">
        <f t="shared" si="11"/>
        <v>81</v>
      </c>
      <c r="L48" s="3">
        <f t="shared" si="11"/>
        <v>4.4000000000000004</v>
      </c>
      <c r="M48" s="3">
        <f t="shared" si="11"/>
        <v>2</v>
      </c>
      <c r="N48" s="3">
        <f t="shared" si="11"/>
        <v>79</v>
      </c>
      <c r="O48" s="3">
        <f t="shared" si="11"/>
        <v>84</v>
      </c>
      <c r="P48" s="13">
        <f>J48*K48/100</f>
        <v>104.71964227879261</v>
      </c>
      <c r="Q48" s="16">
        <f t="shared" si="13"/>
        <v>5.6884743953912027</v>
      </c>
      <c r="R48" s="16">
        <f t="shared" si="14"/>
        <v>2.585670179723274</v>
      </c>
      <c r="S48" s="16">
        <f t="shared" si="15"/>
        <v>4.4938947723590505</v>
      </c>
      <c r="T48" s="16">
        <f t="shared" si="16"/>
        <v>2.1719629509675502</v>
      </c>
    </row>
    <row r="49" spans="1:13" s="1" customFormat="1" x14ac:dyDescent="0.3">
      <c r="A4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s="1" customFormat="1" x14ac:dyDescent="0.3">
      <c r="A5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s="1" customFormat="1" x14ac:dyDescent="0.3">
      <c r="A51" s="1" t="s">
        <v>145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s="1" customFormat="1" x14ac:dyDescent="0.3">
      <c r="A5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s="1" customFormat="1" x14ac:dyDescent="0.3">
      <c r="A53" t="s">
        <v>128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s="1" customFormat="1" x14ac:dyDescent="0.3">
      <c r="A5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s="1" customFormat="1" x14ac:dyDescent="0.3">
      <c r="A55"/>
      <c r="B55" s="2"/>
      <c r="C55" s="2"/>
      <c r="D55" s="2"/>
      <c r="E55" s="2"/>
      <c r="F55" s="2"/>
      <c r="G55" s="2"/>
      <c r="H55" s="12" t="s">
        <v>97</v>
      </c>
      <c r="I55" s="12" t="s">
        <v>99</v>
      </c>
      <c r="J55" s="12" t="s">
        <v>99</v>
      </c>
      <c r="K55" s="2"/>
      <c r="L55" s="2"/>
      <c r="M55" s="2"/>
    </row>
    <row r="56" spans="1:13" s="1" customFormat="1" x14ac:dyDescent="0.3">
      <c r="A56" s="1" t="s">
        <v>0</v>
      </c>
      <c r="B56" s="35" t="s">
        <v>187</v>
      </c>
      <c r="C56" s="2" t="s">
        <v>165</v>
      </c>
      <c r="D56" s="2" t="s">
        <v>166</v>
      </c>
      <c r="E56" s="35" t="s">
        <v>188</v>
      </c>
      <c r="F56" s="2" t="s">
        <v>167</v>
      </c>
      <c r="G56" s="2" t="s">
        <v>168</v>
      </c>
      <c r="H56" s="2" t="s">
        <v>36</v>
      </c>
      <c r="I56" s="2" t="s">
        <v>37</v>
      </c>
      <c r="J56" s="2" t="s">
        <v>38</v>
      </c>
      <c r="K56" s="2"/>
      <c r="L56" s="2"/>
      <c r="M56" s="2"/>
    </row>
    <row r="57" spans="1:13" s="1" customFormat="1" x14ac:dyDescent="0.3">
      <c r="A57" t="s">
        <v>1</v>
      </c>
      <c r="B57" s="13">
        <f>N30</f>
        <v>61.810575439050218</v>
      </c>
      <c r="C57" s="16">
        <f t="shared" ref="C57:D61" si="17">Q30</f>
        <v>5.4407850051173368</v>
      </c>
      <c r="D57" s="16">
        <f t="shared" si="17"/>
        <v>1.6827020184230848</v>
      </c>
      <c r="E57" s="13">
        <f>P44</f>
        <v>26.046336887551732</v>
      </c>
      <c r="F57" s="16">
        <f t="shared" ref="F57:G61" si="18">S44</f>
        <v>1.4711689593727499</v>
      </c>
      <c r="G57" s="16">
        <f t="shared" si="18"/>
        <v>0.46823529761070021</v>
      </c>
      <c r="H57" s="13">
        <f>B57+E57</f>
        <v>87.856912326601957</v>
      </c>
      <c r="I57" s="16">
        <f>C57+F57</f>
        <v>6.9119539644900865</v>
      </c>
      <c r="J57" s="16">
        <f>D57+G57</f>
        <v>2.1509373160337848</v>
      </c>
      <c r="K57" s="2"/>
      <c r="L57" s="2"/>
      <c r="M57" s="2"/>
    </row>
    <row r="58" spans="1:13" s="1" customFormat="1" x14ac:dyDescent="0.3">
      <c r="A58" t="s">
        <v>42</v>
      </c>
      <c r="B58" s="13">
        <f>N31</f>
        <v>61.810575439050218</v>
      </c>
      <c r="C58" s="16">
        <f t="shared" si="17"/>
        <v>5.4407850051173368</v>
      </c>
      <c r="D58" s="16">
        <f t="shared" si="17"/>
        <v>1.6827020184230848</v>
      </c>
      <c r="E58" s="13">
        <f>P45</f>
        <v>34.425999822824039</v>
      </c>
      <c r="F58" s="16">
        <f t="shared" si="18"/>
        <v>1.8822415403129045</v>
      </c>
      <c r="G58" s="16">
        <f t="shared" si="18"/>
        <v>0.54866437217625819</v>
      </c>
      <c r="H58" s="13">
        <f t="shared" ref="H58:H61" si="19">B58+E58</f>
        <v>96.236575261874265</v>
      </c>
      <c r="I58" s="16">
        <f t="shared" ref="I58:I61" si="20">C58+F58</f>
        <v>7.323026545430241</v>
      </c>
      <c r="J58" s="16">
        <f t="shared" ref="J58:J61" si="21">D58+G58</f>
        <v>2.2313663905993431</v>
      </c>
      <c r="K58" s="2"/>
      <c r="L58" s="2"/>
      <c r="M58" s="2"/>
    </row>
    <row r="59" spans="1:13" s="1" customFormat="1" x14ac:dyDescent="0.3">
      <c r="A59" t="s">
        <v>2</v>
      </c>
      <c r="B59" s="13">
        <f>N32</f>
        <v>69.06525429909135</v>
      </c>
      <c r="C59" s="16">
        <f t="shared" si="17"/>
        <v>6.0793674431270759</v>
      </c>
      <c r="D59" s="16">
        <f t="shared" si="17"/>
        <v>1.8801999817423223</v>
      </c>
      <c r="E59" s="13">
        <f>P46</f>
        <v>15.567584785318106</v>
      </c>
      <c r="F59" s="16">
        <f t="shared" si="18"/>
        <v>0.62409750348305126</v>
      </c>
      <c r="G59" s="16">
        <f t="shared" si="18"/>
        <v>0.385471987445414</v>
      </c>
      <c r="H59" s="13">
        <f t="shared" si="19"/>
        <v>84.632839084409454</v>
      </c>
      <c r="I59" s="16">
        <f t="shared" si="20"/>
        <v>6.7034649466101275</v>
      </c>
      <c r="J59" s="16">
        <f t="shared" si="21"/>
        <v>2.2656719691877365</v>
      </c>
      <c r="K59" s="2"/>
      <c r="L59" s="2"/>
      <c r="M59" s="2"/>
    </row>
    <row r="60" spans="1:13" s="1" customFormat="1" x14ac:dyDescent="0.3">
      <c r="A60" t="s">
        <v>30</v>
      </c>
      <c r="B60" s="13">
        <f>N33</f>
        <v>75.42437414567712</v>
      </c>
      <c r="C60" s="16">
        <f t="shared" si="17"/>
        <v>6.6391196159759556</v>
      </c>
      <c r="D60" s="16">
        <f t="shared" si="17"/>
        <v>2.0533176679187868</v>
      </c>
      <c r="E60" s="13">
        <f>P47</f>
        <v>46.65539793983865</v>
      </c>
      <c r="F60" s="16">
        <f t="shared" si="18"/>
        <v>1.5068836576594073</v>
      </c>
      <c r="G60" s="16">
        <f t="shared" si="18"/>
        <v>0.79635676559799051</v>
      </c>
      <c r="H60" s="13">
        <f t="shared" si="19"/>
        <v>122.07977208551577</v>
      </c>
      <c r="I60" s="16">
        <f t="shared" si="20"/>
        <v>8.1460032736353636</v>
      </c>
      <c r="J60" s="16">
        <f t="shared" si="21"/>
        <v>2.8496744335167774</v>
      </c>
      <c r="K60" s="2"/>
      <c r="L60" s="2"/>
      <c r="M60" s="2"/>
    </row>
    <row r="61" spans="1:13" s="1" customFormat="1" x14ac:dyDescent="0.3">
      <c r="A61" t="s">
        <v>5</v>
      </c>
      <c r="B61" s="13">
        <f>N34</f>
        <v>70.444200592358527</v>
      </c>
      <c r="C61" s="16">
        <f t="shared" si="17"/>
        <v>6.2007471627297228</v>
      </c>
      <c r="D61" s="16">
        <f t="shared" si="17"/>
        <v>1.917739766714325</v>
      </c>
      <c r="E61" s="13">
        <f>P48</f>
        <v>104.71964227879261</v>
      </c>
      <c r="F61" s="16">
        <f t="shared" si="18"/>
        <v>4.4938947723590505</v>
      </c>
      <c r="G61" s="16">
        <f t="shared" si="18"/>
        <v>2.1719629509675502</v>
      </c>
      <c r="H61" s="13">
        <f t="shared" si="19"/>
        <v>175.16384287115113</v>
      </c>
      <c r="I61" s="16">
        <f t="shared" si="20"/>
        <v>10.694641935088773</v>
      </c>
      <c r="J61" s="16">
        <f t="shared" si="21"/>
        <v>4.0897027176818757</v>
      </c>
      <c r="K61" s="2"/>
      <c r="L61" s="2"/>
      <c r="M61" s="2"/>
    </row>
    <row r="62" spans="1:13" s="1" customFormat="1" x14ac:dyDescent="0.3">
      <c r="A6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s="1" customFormat="1" x14ac:dyDescent="0.3">
      <c r="A6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s="1" customFormat="1" x14ac:dyDescent="0.3">
      <c r="A64" t="s">
        <v>184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s="1" customFormat="1" x14ac:dyDescent="0.3">
      <c r="A6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s="1" customFormat="1" x14ac:dyDescent="0.3">
      <c r="A66"/>
      <c r="B66" s="2"/>
      <c r="C66" s="2"/>
      <c r="D66" s="12" t="s">
        <v>111</v>
      </c>
      <c r="E66" s="12" t="s">
        <v>111</v>
      </c>
      <c r="F66" s="12" t="s">
        <v>111</v>
      </c>
      <c r="G66" s="12" t="s">
        <v>111</v>
      </c>
      <c r="H66" s="12" t="s">
        <v>111</v>
      </c>
      <c r="I66" s="12" t="s">
        <v>111</v>
      </c>
      <c r="J66" s="12" t="s">
        <v>111</v>
      </c>
      <c r="K66" s="2"/>
      <c r="L66" s="2"/>
      <c r="M66" s="2"/>
    </row>
    <row r="67" spans="1:14" s="1" customFormat="1" x14ac:dyDescent="0.3">
      <c r="A67" s="1" t="s">
        <v>0</v>
      </c>
      <c r="B67" s="2" t="s">
        <v>19</v>
      </c>
      <c r="C67" s="2" t="s">
        <v>50</v>
      </c>
      <c r="D67" s="2" t="s">
        <v>51</v>
      </c>
      <c r="E67" s="2" t="s">
        <v>52</v>
      </c>
      <c r="F67" s="2" t="s">
        <v>60</v>
      </c>
      <c r="G67" s="2" t="s">
        <v>53</v>
      </c>
      <c r="H67" s="2" t="s">
        <v>54</v>
      </c>
      <c r="I67" s="2" t="s">
        <v>55</v>
      </c>
      <c r="J67" s="2" t="s">
        <v>56</v>
      </c>
      <c r="K67" s="2"/>
      <c r="L67" s="2"/>
      <c r="M67" s="2"/>
      <c r="N67" s="2"/>
    </row>
    <row r="68" spans="1:14" s="1" customFormat="1" x14ac:dyDescent="0.3">
      <c r="A68" t="s">
        <v>1</v>
      </c>
      <c r="B68" s="3">
        <f t="shared" ref="B68:B73" si="22">C6</f>
        <v>15</v>
      </c>
      <c r="C68" s="16">
        <f>B68/100*$C$74</f>
        <v>3.4499999999999997</v>
      </c>
      <c r="D68" s="20">
        <f>C68*E6</f>
        <v>555.44999999999993</v>
      </c>
      <c r="E68" s="20">
        <f>C68*G30</f>
        <v>321.63874097243325</v>
      </c>
      <c r="F68" s="20">
        <f>C68*I44</f>
        <v>452.16280199763963</v>
      </c>
      <c r="G68" s="20">
        <f>C68*J44</f>
        <v>103.28719800236031</v>
      </c>
      <c r="H68" s="20">
        <f>C68*H57</f>
        <v>303.10634752677674</v>
      </c>
      <c r="I68" s="21">
        <f>C68*I57</f>
        <v>23.846241177490796</v>
      </c>
      <c r="J68" s="21">
        <f>C68*J57</f>
        <v>7.4207337403165567</v>
      </c>
      <c r="K68" s="2"/>
      <c r="L68" s="2"/>
      <c r="M68" s="2"/>
      <c r="N68" s="2"/>
    </row>
    <row r="69" spans="1:14" s="1" customFormat="1" x14ac:dyDescent="0.3">
      <c r="A69" t="s">
        <v>42</v>
      </c>
      <c r="B69" s="3">
        <f t="shared" si="22"/>
        <v>15</v>
      </c>
      <c r="C69" s="16">
        <f t="shared" ref="C69:C73" si="23">B69/100*$C$74</f>
        <v>3.4499999999999997</v>
      </c>
      <c r="D69" s="20">
        <f>C69*E7</f>
        <v>555.44999999999993</v>
      </c>
      <c r="E69" s="20">
        <f>C69*G31</f>
        <v>321.63874097243325</v>
      </c>
      <c r="F69" s="20">
        <f>C69*I45</f>
        <v>406.9878757640713</v>
      </c>
      <c r="G69" s="20">
        <f>C69*J45</f>
        <v>148.46212423592866</v>
      </c>
      <c r="H69" s="20">
        <f>C69*H58</f>
        <v>332.01618465346621</v>
      </c>
      <c r="I69" s="21">
        <f>C69*I58</f>
        <v>25.264441581734328</v>
      </c>
      <c r="J69" s="21">
        <f>C69*J58</f>
        <v>7.698214047567733</v>
      </c>
      <c r="K69" s="2"/>
      <c r="L69" s="2"/>
      <c r="M69" s="2"/>
      <c r="N69" s="2"/>
    </row>
    <row r="70" spans="1:14" s="1" customFormat="1" x14ac:dyDescent="0.3">
      <c r="A70" t="s">
        <v>2</v>
      </c>
      <c r="B70" s="3">
        <f t="shared" si="22"/>
        <v>40</v>
      </c>
      <c r="C70" s="16">
        <f t="shared" si="23"/>
        <v>9.2000000000000011</v>
      </c>
      <c r="D70" s="20">
        <f>C70*E8</f>
        <v>736.00000000000011</v>
      </c>
      <c r="E70" s="20">
        <f>C70*G32</f>
        <v>958.37155286823611</v>
      </c>
      <c r="F70" s="20">
        <f>C70*I46</f>
        <v>522.23614921652756</v>
      </c>
      <c r="G70" s="20">
        <f>C70*J46</f>
        <v>213.76385078347252</v>
      </c>
      <c r="H70" s="20">
        <f>C70*H59</f>
        <v>778.62211957656712</v>
      </c>
      <c r="I70" s="21">
        <f>C70*I59</f>
        <v>61.671877508813182</v>
      </c>
      <c r="J70" s="21">
        <f>C70*J59</f>
        <v>20.844182116527179</v>
      </c>
      <c r="K70" s="2"/>
      <c r="L70" s="2"/>
      <c r="M70" s="2"/>
      <c r="N70" s="2"/>
    </row>
    <row r="71" spans="1:14" s="1" customFormat="1" x14ac:dyDescent="0.3">
      <c r="A71" t="s">
        <v>30</v>
      </c>
      <c r="B71" s="3">
        <f t="shared" si="22"/>
        <v>22</v>
      </c>
      <c r="C71" s="16">
        <f t="shared" si="23"/>
        <v>5.0599999999999996</v>
      </c>
      <c r="D71" s="20">
        <f>C71*E9</f>
        <v>915.8599999999999</v>
      </c>
      <c r="E71" s="20">
        <f>C71*G33</f>
        <v>575.63700328375</v>
      </c>
      <c r="F71" s="20">
        <f>C71*I47</f>
        <v>646.44885168442806</v>
      </c>
      <c r="G71" s="20">
        <f>C71*J47</f>
        <v>269.41114831557189</v>
      </c>
      <c r="H71" s="20">
        <f>C71*H60</f>
        <v>617.72364675270978</v>
      </c>
      <c r="I71" s="21">
        <f>C71*I60</f>
        <v>41.21877656459494</v>
      </c>
      <c r="J71" s="21">
        <f>C71*J60</f>
        <v>14.419352633594892</v>
      </c>
      <c r="K71" s="2"/>
      <c r="L71" s="2"/>
      <c r="M71" s="2"/>
      <c r="N71" s="2"/>
    </row>
    <row r="72" spans="1:14" s="1" customFormat="1" x14ac:dyDescent="0.3">
      <c r="A72" t="s">
        <v>5</v>
      </c>
      <c r="B72" s="3">
        <f t="shared" si="22"/>
        <v>5</v>
      </c>
      <c r="C72" s="16">
        <f t="shared" si="23"/>
        <v>1.1500000000000001</v>
      </c>
      <c r="D72" s="20">
        <f>C72*E10</f>
        <v>442.75000000000006</v>
      </c>
      <c r="E72" s="20">
        <f>C72*G34</f>
        <v>122.188281570456</v>
      </c>
      <c r="F72" s="20">
        <f>C72*I48</f>
        <v>294.07396466591177</v>
      </c>
      <c r="G72" s="20">
        <f>C72*J48</f>
        <v>148.67603533408825</v>
      </c>
      <c r="H72" s="20">
        <f>C72*H61</f>
        <v>201.43841930182381</v>
      </c>
      <c r="I72" s="21">
        <f>C72*I61</f>
        <v>12.298838225352091</v>
      </c>
      <c r="J72" s="21">
        <f>C72*J61</f>
        <v>4.7031581253341574</v>
      </c>
      <c r="K72" s="2"/>
      <c r="L72" s="2"/>
      <c r="M72" s="2"/>
      <c r="N72" s="2"/>
    </row>
    <row r="73" spans="1:14" s="1" customFormat="1" x14ac:dyDescent="0.3">
      <c r="A73" t="s">
        <v>6</v>
      </c>
      <c r="B73" s="3">
        <f t="shared" si="22"/>
        <v>3</v>
      </c>
      <c r="C73" s="16">
        <f t="shared" si="23"/>
        <v>0.69</v>
      </c>
      <c r="D73" s="20"/>
      <c r="E73" s="20"/>
      <c r="F73" s="20"/>
      <c r="G73" s="20"/>
      <c r="H73" s="20"/>
      <c r="I73" s="21"/>
      <c r="J73" s="21"/>
      <c r="K73" s="2"/>
      <c r="L73" s="2"/>
      <c r="M73" s="2"/>
      <c r="N73" s="2"/>
    </row>
    <row r="74" spans="1:14" s="1" customFormat="1" x14ac:dyDescent="0.3">
      <c r="A74" s="1" t="s">
        <v>57</v>
      </c>
      <c r="B74" s="2">
        <f>SUM(B68:B73)</f>
        <v>100</v>
      </c>
      <c r="C74" s="2">
        <f>B21</f>
        <v>23</v>
      </c>
      <c r="D74" s="19">
        <f>SUM(D68:D73)</f>
        <v>3205.51</v>
      </c>
      <c r="E74" s="19">
        <f>SUM(E68:E73)</f>
        <v>2299.4743196673089</v>
      </c>
      <c r="F74" s="19">
        <f>SUM(F68:F73)</f>
        <v>2321.9096433285786</v>
      </c>
      <c r="G74" s="19">
        <f t="shared" ref="G74:J74" si="24">SUM(G68:G73)</f>
        <v>883.60035667142165</v>
      </c>
      <c r="H74" s="19">
        <f t="shared" si="24"/>
        <v>2232.9067178113437</v>
      </c>
      <c r="I74" s="19">
        <f t="shared" si="24"/>
        <v>164.30017505798534</v>
      </c>
      <c r="J74" s="19">
        <f t="shared" si="24"/>
        <v>55.085640663340513</v>
      </c>
      <c r="K74" s="2"/>
      <c r="L74" s="2"/>
      <c r="M74" s="2"/>
      <c r="N74" s="2"/>
    </row>
    <row r="75" spans="1:14" s="1" customFormat="1" x14ac:dyDescent="0.3">
      <c r="B75" s="2"/>
      <c r="C75" s="2"/>
      <c r="D75" s="19"/>
      <c r="E75" s="19"/>
      <c r="F75" s="19"/>
      <c r="G75" s="19"/>
      <c r="H75" s="19"/>
      <c r="I75" s="19"/>
      <c r="J75" s="19"/>
      <c r="K75" s="2"/>
      <c r="L75" s="2"/>
      <c r="M75" s="2"/>
      <c r="N75" s="2"/>
    </row>
    <row r="76" spans="1:14" s="1" customFormat="1" x14ac:dyDescent="0.3">
      <c r="B76" s="2"/>
      <c r="C76" s="2"/>
      <c r="D76" s="19"/>
      <c r="E76" s="19"/>
      <c r="F76" s="19"/>
      <c r="G76" s="19"/>
      <c r="H76" s="19"/>
      <c r="I76" s="19"/>
      <c r="J76" s="19"/>
      <c r="K76" s="2"/>
      <c r="L76" s="2"/>
      <c r="M76" s="2"/>
      <c r="N76" s="2"/>
    </row>
    <row r="77" spans="1:14" s="1" customFormat="1" x14ac:dyDescent="0.3">
      <c r="A77" s="1" t="s">
        <v>144</v>
      </c>
      <c r="B77" s="2"/>
      <c r="C77" s="2"/>
      <c r="D77" s="19"/>
      <c r="E77" s="19"/>
      <c r="F77" s="19"/>
      <c r="G77" s="19"/>
      <c r="H77" s="19"/>
      <c r="I77" s="19"/>
      <c r="J77" s="19"/>
      <c r="K77" s="2"/>
      <c r="L77" s="2"/>
      <c r="M77" s="2"/>
      <c r="N77" s="2"/>
    </row>
    <row r="78" spans="1:14" s="1" customFormat="1" x14ac:dyDescent="0.3">
      <c r="A78"/>
      <c r="B78" s="2"/>
      <c r="C78" s="2"/>
      <c r="D78" s="19"/>
      <c r="E78" s="19"/>
      <c r="F78" s="19"/>
      <c r="G78" s="19"/>
      <c r="H78" s="19"/>
      <c r="I78" s="19"/>
      <c r="J78" s="19"/>
      <c r="K78" s="2"/>
      <c r="L78" s="2"/>
      <c r="M78" s="2"/>
      <c r="N78" s="2"/>
    </row>
    <row r="79" spans="1:14" s="1" customFormat="1" x14ac:dyDescent="0.3">
      <c r="A79" t="s">
        <v>127</v>
      </c>
      <c r="B79" s="2"/>
      <c r="C79" s="2"/>
      <c r="D79" s="19"/>
      <c r="E79" s="19"/>
      <c r="F79" s="19"/>
      <c r="G79" s="19"/>
      <c r="H79" s="19"/>
      <c r="I79" s="19"/>
      <c r="J79" s="19"/>
      <c r="K79" s="2"/>
      <c r="L79" s="2"/>
      <c r="M79" s="2"/>
      <c r="N79" s="2"/>
    </row>
    <row r="80" spans="1:14" s="1" customFormat="1" x14ac:dyDescent="0.3">
      <c r="A80"/>
      <c r="B80" s="2"/>
      <c r="C80" s="2"/>
      <c r="D80" s="19"/>
      <c r="E80" s="19"/>
      <c r="F80" s="19"/>
      <c r="G80" s="19"/>
      <c r="H80" s="19"/>
      <c r="I80" s="19"/>
      <c r="J80" s="19"/>
      <c r="K80" s="2"/>
      <c r="L80" s="2"/>
      <c r="M80" s="2"/>
      <c r="N80" s="2"/>
    </row>
    <row r="81" spans="1:14" s="1" customFormat="1" x14ac:dyDescent="0.3">
      <c r="A81"/>
      <c r="B81" s="2"/>
      <c r="C81" s="2"/>
      <c r="D81" s="24" t="s">
        <v>112</v>
      </c>
      <c r="E81" s="24" t="s">
        <v>112</v>
      </c>
      <c r="F81" s="24" t="s">
        <v>112</v>
      </c>
      <c r="G81" s="24" t="s">
        <v>113</v>
      </c>
      <c r="H81" s="24" t="s">
        <v>112</v>
      </c>
      <c r="I81" s="24" t="s">
        <v>112</v>
      </c>
      <c r="J81" s="24" t="s">
        <v>112</v>
      </c>
      <c r="K81" s="2"/>
      <c r="L81" s="2"/>
      <c r="M81" s="2"/>
      <c r="N81" s="2"/>
    </row>
    <row r="82" spans="1:14" s="1" customFormat="1" x14ac:dyDescent="0.3">
      <c r="A82"/>
      <c r="B82" s="2" t="s">
        <v>19</v>
      </c>
      <c r="C82" s="2" t="s">
        <v>50</v>
      </c>
      <c r="D82" s="2" t="s">
        <v>51</v>
      </c>
      <c r="E82" s="2" t="s">
        <v>60</v>
      </c>
      <c r="F82" s="2" t="s">
        <v>52</v>
      </c>
      <c r="G82" s="2" t="s">
        <v>53</v>
      </c>
      <c r="H82" s="2" t="s">
        <v>54</v>
      </c>
      <c r="I82" s="2" t="s">
        <v>55</v>
      </c>
      <c r="J82" s="2" t="s">
        <v>56</v>
      </c>
      <c r="K82" s="2"/>
      <c r="L82" s="2"/>
      <c r="M82" s="2"/>
      <c r="N82" s="2"/>
    </row>
    <row r="83" spans="1:14" s="1" customFormat="1" x14ac:dyDescent="0.3">
      <c r="A83" s="23" t="s">
        <v>57</v>
      </c>
      <c r="B83" s="14">
        <f>B74</f>
        <v>100</v>
      </c>
      <c r="C83" s="14">
        <f>B21</f>
        <v>23</v>
      </c>
      <c r="D83" s="15">
        <f t="shared" ref="D83" si="25">D74</f>
        <v>3205.51</v>
      </c>
      <c r="E83" s="15">
        <f>F74</f>
        <v>2321.9096433285786</v>
      </c>
      <c r="F83" s="15">
        <f>E74</f>
        <v>2299.4743196673089</v>
      </c>
      <c r="G83" s="15">
        <f>G74</f>
        <v>883.60035667142165</v>
      </c>
      <c r="H83" s="15">
        <f>H74</f>
        <v>2232.9067178113437</v>
      </c>
      <c r="I83" s="15">
        <f>I74</f>
        <v>164.30017505798534</v>
      </c>
      <c r="J83" s="15">
        <f>J74</f>
        <v>55.085640663340513</v>
      </c>
      <c r="K83" s="2"/>
      <c r="L83" s="2"/>
      <c r="M83" s="2"/>
      <c r="N83" s="2"/>
    </row>
    <row r="84" spans="1:14" s="1" customFormat="1" x14ac:dyDescent="0.3">
      <c r="A84" s="1" t="s">
        <v>58</v>
      </c>
      <c r="B84" s="14"/>
      <c r="C84" s="14"/>
      <c r="D84" s="10">
        <f>D83/$C$83</f>
        <v>139.37</v>
      </c>
      <c r="E84" s="10">
        <f t="shared" ref="E84:J84" si="26">E83/$C$83</f>
        <v>100.95259318819907</v>
      </c>
      <c r="F84" s="10">
        <f t="shared" si="26"/>
        <v>99.977144333361252</v>
      </c>
      <c r="G84" s="10">
        <f t="shared" si="26"/>
        <v>38.417406811800944</v>
      </c>
      <c r="H84" s="10">
        <f t="shared" si="26"/>
        <v>97.082900774406241</v>
      </c>
      <c r="I84" s="10">
        <f t="shared" si="26"/>
        <v>7.1434858720863188</v>
      </c>
      <c r="J84" s="10">
        <f t="shared" si="26"/>
        <v>2.3950278549278483</v>
      </c>
      <c r="K84" s="2"/>
      <c r="L84" s="2"/>
      <c r="M84" s="2"/>
      <c r="N84" s="2"/>
    </row>
    <row r="85" spans="1:14" s="1" customFormat="1" x14ac:dyDescent="0.3">
      <c r="A85" s="1" t="s">
        <v>59</v>
      </c>
      <c r="B85" s="14"/>
      <c r="C85" s="14"/>
      <c r="D85" s="14"/>
      <c r="E85" s="10"/>
      <c r="F85" s="10"/>
      <c r="G85" s="10">
        <f>G84/D84*100</f>
        <v>27.565047579680662</v>
      </c>
      <c r="H85" s="10"/>
      <c r="I85" s="14"/>
      <c r="J85" s="14"/>
      <c r="K85" s="2"/>
      <c r="L85" s="2"/>
      <c r="M85" s="2"/>
      <c r="N85" s="2"/>
    </row>
    <row r="86" spans="1:14" s="1" customFormat="1" x14ac:dyDescent="0.3">
      <c r="A8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8" spans="1:14" x14ac:dyDescent="0.3">
      <c r="A88" s="1" t="s">
        <v>143</v>
      </c>
    </row>
    <row r="90" spans="1:14" x14ac:dyDescent="0.3">
      <c r="A90" t="s">
        <v>82</v>
      </c>
    </row>
    <row r="92" spans="1:14" x14ac:dyDescent="0.3">
      <c r="D92" s="12" t="s">
        <v>114</v>
      </c>
    </row>
    <row r="93" spans="1:14" x14ac:dyDescent="0.3">
      <c r="B93" s="2" t="s">
        <v>181</v>
      </c>
      <c r="C93" s="2" t="s">
        <v>182</v>
      </c>
      <c r="D93" s="2" t="s">
        <v>61</v>
      </c>
    </row>
    <row r="94" spans="1:14" x14ac:dyDescent="0.3">
      <c r="A94" s="1" t="s">
        <v>173</v>
      </c>
      <c r="B94" s="19">
        <f>F74</f>
        <v>2321.9096433285786</v>
      </c>
      <c r="C94" s="19">
        <f>E74</f>
        <v>2299.4743196673089</v>
      </c>
      <c r="D94" s="19">
        <f>(B94-C94)/6.25</f>
        <v>3.5896517858031438</v>
      </c>
      <c r="E94" s="27"/>
      <c r="F94" s="22"/>
    </row>
    <row r="95" spans="1:14" x14ac:dyDescent="0.3">
      <c r="A95" s="1" t="s">
        <v>174</v>
      </c>
      <c r="B95" s="10">
        <f>E84</f>
        <v>100.95259318819907</v>
      </c>
      <c r="C95" s="10">
        <f>F84</f>
        <v>99.977144333361252</v>
      </c>
      <c r="D95" s="31">
        <f>(B95-C95)/6.25</f>
        <v>0.15607181677405152</v>
      </c>
    </row>
    <row r="98" spans="1:7" x14ac:dyDescent="0.3">
      <c r="A98" s="1" t="s">
        <v>142</v>
      </c>
    </row>
    <row r="100" spans="1:7" x14ac:dyDescent="0.3">
      <c r="A100" t="s">
        <v>83</v>
      </c>
    </row>
    <row r="103" spans="1:7" x14ac:dyDescent="0.3">
      <c r="A103" s="1" t="s">
        <v>70</v>
      </c>
      <c r="B103" s="1" t="s">
        <v>71</v>
      </c>
      <c r="F103" s="26" t="s">
        <v>67</v>
      </c>
      <c r="G103" s="25">
        <f>B21</f>
        <v>23</v>
      </c>
    </row>
    <row r="104" spans="1:7" x14ac:dyDescent="0.3">
      <c r="A104" t="s">
        <v>72</v>
      </c>
      <c r="B104" s="8">
        <f>3*G103*6.25*(72/100)/(70/100)</f>
        <v>443.57142857142861</v>
      </c>
      <c r="C104" s="22" t="s">
        <v>115</v>
      </c>
      <c r="F104" s="26" t="s">
        <v>66</v>
      </c>
      <c r="G104" s="25">
        <f>C21</f>
        <v>650</v>
      </c>
    </row>
    <row r="105" spans="1:7" x14ac:dyDescent="0.3">
      <c r="A105" t="s">
        <v>176</v>
      </c>
      <c r="B105" s="8">
        <f>0.05*G104*6.25*(78/100)</f>
        <v>158.4375</v>
      </c>
      <c r="C105" s="22" t="s">
        <v>116</v>
      </c>
      <c r="F105" s="26" t="s">
        <v>65</v>
      </c>
      <c r="G105" s="25">
        <v>33</v>
      </c>
    </row>
    <row r="106" spans="1:7" x14ac:dyDescent="0.3">
      <c r="A106" t="s">
        <v>177</v>
      </c>
      <c r="B106" s="8">
        <f>0.02*(G104^0.75)*6.25/(70/100)</f>
        <v>22.987777794023838</v>
      </c>
      <c r="C106" s="22" t="s">
        <v>117</v>
      </c>
      <c r="F106" s="26" t="s">
        <v>68</v>
      </c>
      <c r="G106" s="25">
        <v>3.3</v>
      </c>
    </row>
    <row r="107" spans="1:7" x14ac:dyDescent="0.3">
      <c r="A107" t="s">
        <v>73</v>
      </c>
      <c r="B107" s="8">
        <f>(G106*10)/6.38*G105*(95/100)*6.25/(70/100)</f>
        <v>1447.8140394088673</v>
      </c>
      <c r="C107" s="22" t="s">
        <v>118</v>
      </c>
      <c r="F107" s="26" t="s">
        <v>85</v>
      </c>
      <c r="G107" s="25">
        <v>50</v>
      </c>
    </row>
    <row r="108" spans="1:7" x14ac:dyDescent="0.3">
      <c r="A108" t="s">
        <v>74</v>
      </c>
      <c r="B108" s="8">
        <f>IF(OR(G107=0,G107=""),0,12.1156*EXP(0.0108*G107)/(30/100))</f>
        <v>69.301509131622922</v>
      </c>
      <c r="C108" s="22" t="s">
        <v>119</v>
      </c>
      <c r="F108" s="26" t="s">
        <v>69</v>
      </c>
      <c r="G108" s="25">
        <v>50</v>
      </c>
    </row>
    <row r="109" spans="1:7" x14ac:dyDescent="0.3">
      <c r="A109" t="s">
        <v>75</v>
      </c>
      <c r="B109" s="8">
        <f>IF(G105&gt;0,0.138*G108/(70/100),0.138*G108/(40/100))</f>
        <v>9.8571428571428577</v>
      </c>
      <c r="C109" s="22" t="s">
        <v>120</v>
      </c>
    </row>
    <row r="110" spans="1:7" x14ac:dyDescent="0.3">
      <c r="A110" s="1" t="s">
        <v>76</v>
      </c>
      <c r="B110" s="11">
        <f>SUM(B104:B109)</f>
        <v>2151.9693977630855</v>
      </c>
      <c r="C110" s="22" t="s">
        <v>121</v>
      </c>
    </row>
    <row r="111" spans="1:7" x14ac:dyDescent="0.3">
      <c r="A111" s="1" t="s">
        <v>77</v>
      </c>
      <c r="B111" s="11">
        <f>H83-B110</f>
        <v>80.937320048258243</v>
      </c>
      <c r="C111" t="s">
        <v>79</v>
      </c>
    </row>
    <row r="112" spans="1:7" x14ac:dyDescent="0.3">
      <c r="A112" s="1" t="s">
        <v>78</v>
      </c>
      <c r="B112" s="10">
        <f>(H83/B110)*100-100</f>
        <v>3.7610813672531975</v>
      </c>
      <c r="C112" t="s">
        <v>79</v>
      </c>
    </row>
    <row r="115" spans="1:9" x14ac:dyDescent="0.3">
      <c r="A115" s="1" t="s">
        <v>141</v>
      </c>
    </row>
    <row r="117" spans="1:9" x14ac:dyDescent="0.3">
      <c r="A117" t="s">
        <v>183</v>
      </c>
    </row>
    <row r="120" spans="1:9" x14ac:dyDescent="0.3">
      <c r="A120" s="1" t="s">
        <v>70</v>
      </c>
      <c r="B120" s="2" t="s">
        <v>86</v>
      </c>
      <c r="C120" s="2" t="s">
        <v>87</v>
      </c>
      <c r="F120" s="32"/>
      <c r="G120" s="33" t="s">
        <v>21</v>
      </c>
      <c r="H120" s="33" t="s">
        <v>22</v>
      </c>
    </row>
    <row r="121" spans="1:9" x14ac:dyDescent="0.3">
      <c r="A121" t="s">
        <v>72</v>
      </c>
      <c r="B121" s="8">
        <f>((3*G103*6.25*(72/100))*(G121/100))/(G127/100)</f>
        <v>30.618749999999999</v>
      </c>
      <c r="C121" s="8">
        <f>((3*G$103*6.25*(72/100))*(H121/100))/(H127/100)</f>
        <v>7.2308219178082194</v>
      </c>
      <c r="D121" s="22" t="s">
        <v>129</v>
      </c>
      <c r="F121" s="26" t="s">
        <v>72</v>
      </c>
      <c r="G121" s="34">
        <v>7.1</v>
      </c>
      <c r="H121" s="34">
        <v>1.7</v>
      </c>
    </row>
    <row r="122" spans="1:9" x14ac:dyDescent="0.3">
      <c r="A122" t="s">
        <v>176</v>
      </c>
      <c r="B122" s="8">
        <f>((0.05*G104*6.25*(78/100))*(G122/100))</f>
        <v>2.8518750000000002</v>
      </c>
      <c r="C122" s="8">
        <f>((0.05*G104*6.25*(78/100))*(H122/100))</f>
        <v>0.79218750000000004</v>
      </c>
      <c r="D122" s="22" t="s">
        <v>130</v>
      </c>
      <c r="F122" s="26" t="s">
        <v>176</v>
      </c>
      <c r="G122" s="34">
        <v>1.8</v>
      </c>
      <c r="H122" s="34">
        <v>0.5</v>
      </c>
    </row>
    <row r="123" spans="1:9" x14ac:dyDescent="0.3">
      <c r="A123" t="s">
        <v>177</v>
      </c>
      <c r="B123" s="8">
        <f>((0.02*(G104^0.75)*6.25)*(G123/100))/(G127/100)</f>
        <v>1.0057152784885428</v>
      </c>
      <c r="C123" s="8">
        <f>((0.02*(G104^0.75)*6.25)*(H123/100))/(H127/100)</f>
        <v>0.24247382056710079</v>
      </c>
      <c r="D123" s="22" t="s">
        <v>131</v>
      </c>
      <c r="F123" s="26" t="s">
        <v>177</v>
      </c>
      <c r="G123" s="34">
        <v>4.5</v>
      </c>
      <c r="H123" s="34">
        <v>1.1000000000000001</v>
      </c>
    </row>
    <row r="124" spans="1:9" x14ac:dyDescent="0.3">
      <c r="A124" t="s">
        <v>73</v>
      </c>
      <c r="B124" s="8">
        <f>(((G106*10)/6.38*G105*(95/100)*6.25)*(G124/100))/(G127/100)</f>
        <v>123.86853448275865</v>
      </c>
      <c r="C124" s="8">
        <f>(((G106*10)/6.38*G105*(95/100)*6.25)*(H124/100))/(H127/100)</f>
        <v>41.649444969296177</v>
      </c>
      <c r="D124" s="22" t="s">
        <v>132</v>
      </c>
      <c r="F124" s="26" t="s">
        <v>73</v>
      </c>
      <c r="G124" s="34">
        <v>8.8000000000000007</v>
      </c>
      <c r="H124" s="34">
        <v>3</v>
      </c>
    </row>
    <row r="125" spans="1:9" x14ac:dyDescent="0.3">
      <c r="A125" t="s">
        <v>74</v>
      </c>
      <c r="B125" s="8">
        <f>((12.1156*EXP(0.0108*G107))*(G125/100))/(30/100)</f>
        <v>5.7520252579247027</v>
      </c>
      <c r="C125" s="8">
        <f>((12.1156*EXP(0.0108*G107))*(H125/100))/(30/100)</f>
        <v>1.4553316917640813</v>
      </c>
      <c r="D125" s="22" t="s">
        <v>133</v>
      </c>
      <c r="F125" s="26" t="s">
        <v>74</v>
      </c>
      <c r="G125" s="34">
        <v>8.3000000000000007</v>
      </c>
      <c r="H125" s="34">
        <v>2.1</v>
      </c>
      <c r="I125" s="17"/>
    </row>
    <row r="126" spans="1:9" x14ac:dyDescent="0.3">
      <c r="A126" t="s">
        <v>75</v>
      </c>
      <c r="B126" s="8">
        <f>IF(G105&gt;0,((0.138*G108)*(G126/100))/(70/100),((0.138*G108)*(G126/100))/(40/100))</f>
        <v>0.67028571428571437</v>
      </c>
      <c r="C126" s="8">
        <f>IF(G105&gt;0,((0.138*G108)*(H126/100))/(70/100),((0.138*G108)*(H126/100))/(40/100))</f>
        <v>0.18728571428571428</v>
      </c>
      <c r="D126" s="22" t="s">
        <v>134</v>
      </c>
      <c r="F126" s="26" t="s">
        <v>75</v>
      </c>
      <c r="G126" s="34">
        <v>6.8</v>
      </c>
      <c r="H126" s="34">
        <v>1.9</v>
      </c>
    </row>
    <row r="127" spans="1:9" x14ac:dyDescent="0.3">
      <c r="A127" s="1" t="s">
        <v>76</v>
      </c>
      <c r="B127" s="11">
        <f>SUM(B121:B126)</f>
        <v>164.76718573345761</v>
      </c>
      <c r="C127" s="11">
        <f>SUM(C121:C126)</f>
        <v>51.557545613721288</v>
      </c>
      <c r="D127" s="22" t="s">
        <v>121</v>
      </c>
      <c r="F127" s="26" t="s">
        <v>84</v>
      </c>
      <c r="G127" s="25">
        <v>72</v>
      </c>
      <c r="H127" s="25">
        <v>73</v>
      </c>
      <c r="I127" t="s">
        <v>175</v>
      </c>
    </row>
    <row r="128" spans="1:9" x14ac:dyDescent="0.3">
      <c r="A128" s="1" t="s">
        <v>77</v>
      </c>
      <c r="B128" s="10">
        <f>I83-B127</f>
        <v>-0.46701067547226671</v>
      </c>
      <c r="C128" s="10">
        <f>J83-C127</f>
        <v>3.5280950496192247</v>
      </c>
      <c r="D128" t="s">
        <v>79</v>
      </c>
    </row>
    <row r="129" spans="1:4" x14ac:dyDescent="0.3">
      <c r="A129" s="1" t="s">
        <v>78</v>
      </c>
      <c r="B129" s="10">
        <f>(I83/B127)*100-100</f>
        <v>-0.2834367009385943</v>
      </c>
      <c r="C129" s="10">
        <f>(J83/C127)*100-100</f>
        <v>6.8430236692265538</v>
      </c>
      <c r="D129" t="s">
        <v>79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 Mischfutter</vt:lpstr>
      <vt:lpstr>Beispiel Rationsberechnung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Terler</dc:creator>
  <cp:lastModifiedBy>Kampf, Detlef</cp:lastModifiedBy>
  <dcterms:created xsi:type="dcterms:W3CDTF">2024-06-10T11:22:57Z</dcterms:created>
  <dcterms:modified xsi:type="dcterms:W3CDTF">2025-10-23T12:11:51Z</dcterms:modified>
</cp:coreProperties>
</file>